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3\14\14_2023_Прил. к Выписке\"/>
    </mc:Choice>
  </mc:AlternateContent>
  <xr:revisionPtr revIDLastSave="0" documentId="13_ncr:1_{B26586C1-70BC-4353-A22D-6CEA2D4B9993}" xr6:coauthVersionLast="47" xr6:coauthVersionMax="47" xr10:uidLastSave="{00000000-0000-0000-0000-000000000000}"/>
  <bookViews>
    <workbookView xWindow="-120" yWindow="-120" windowWidth="29040" windowHeight="15840" tabRatio="607" xr2:uid="{698921B6-41A4-4967-AEF5-657D6F048102}"/>
  </bookViews>
  <sheets>
    <sheet name="Прил.1.1.1 (3.3.10.1)" sheetId="7" r:id="rId1"/>
    <sheet name="Прил.1.1.1 (3.3.10.1) (8_1)" sheetId="6" state="hidden" r:id="rId2"/>
  </sheets>
  <definedNames>
    <definedName name="_xlnm._FilterDatabase" localSheetId="0" hidden="1">'Прил.1.1.1 (3.3.10.1)'!$A$42:$S$92</definedName>
    <definedName name="_xlnm._FilterDatabase" localSheetId="1" hidden="1">'Прил.1.1.1 (3.3.10.1) (8_1)'!$A$43:$U$88</definedName>
    <definedName name="_xlnm.Print_Titles" localSheetId="0">'Прил.1.1.1 (3.3.10.1)'!$1:$3</definedName>
    <definedName name="_xlnm.Print_Area" localSheetId="0">'Прил.1.1.1 (3.3.10.1)'!$A$40:$S$89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4" i="7" l="1"/>
  <c r="K81" i="7"/>
  <c r="I44" i="7"/>
  <c r="I81" i="7"/>
  <c r="E44" i="7"/>
  <c r="F19" i="7" l="1"/>
  <c r="F84" i="7"/>
  <c r="F85" i="7"/>
  <c r="F86" i="7"/>
  <c r="H84" i="7"/>
  <c r="H85" i="7"/>
  <c r="H86" i="7"/>
  <c r="R84" i="7"/>
  <c r="R85" i="7"/>
  <c r="R86" i="7"/>
  <c r="P84" i="7"/>
  <c r="P85" i="7"/>
  <c r="P86" i="7"/>
  <c r="N84" i="7"/>
  <c r="N85" i="7"/>
  <c r="N86" i="7"/>
  <c r="L84" i="7"/>
  <c r="L85" i="7"/>
  <c r="L86" i="7"/>
  <c r="J84" i="7"/>
  <c r="J85" i="7"/>
  <c r="J86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7" i="7"/>
  <c r="L88" i="7"/>
  <c r="L89" i="7"/>
  <c r="L44" i="7"/>
  <c r="R45" i="7"/>
  <c r="R46" i="7"/>
  <c r="R47" i="7"/>
  <c r="R48" i="7"/>
  <c r="R49" i="7"/>
  <c r="R50" i="7"/>
  <c r="R51" i="7"/>
  <c r="R52" i="7"/>
  <c r="R53" i="7"/>
  <c r="R54" i="7"/>
  <c r="R55" i="7"/>
  <c r="R56" i="7"/>
  <c r="R57" i="7"/>
  <c r="R58" i="7"/>
  <c r="R59" i="7"/>
  <c r="R60" i="7"/>
  <c r="R61" i="7"/>
  <c r="R62" i="7"/>
  <c r="R63" i="7"/>
  <c r="R64" i="7"/>
  <c r="R65" i="7"/>
  <c r="R66" i="7"/>
  <c r="R67" i="7"/>
  <c r="R68" i="7"/>
  <c r="R69" i="7"/>
  <c r="R70" i="7"/>
  <c r="R71" i="7"/>
  <c r="R72" i="7"/>
  <c r="R73" i="7"/>
  <c r="R74" i="7"/>
  <c r="R75" i="7"/>
  <c r="R76" i="7"/>
  <c r="R77" i="7"/>
  <c r="R78" i="7"/>
  <c r="R79" i="7"/>
  <c r="R80" i="7"/>
  <c r="R81" i="7"/>
  <c r="R82" i="7"/>
  <c r="R83" i="7"/>
  <c r="R87" i="7"/>
  <c r="R88" i="7"/>
  <c r="R89" i="7"/>
  <c r="R44" i="7"/>
  <c r="P45" i="7"/>
  <c r="P46" i="7"/>
  <c r="P47" i="7"/>
  <c r="P48" i="7"/>
  <c r="P49" i="7"/>
  <c r="P50" i="7"/>
  <c r="P51" i="7"/>
  <c r="P52" i="7"/>
  <c r="P53" i="7"/>
  <c r="P54" i="7"/>
  <c r="P55" i="7"/>
  <c r="P56" i="7"/>
  <c r="P57" i="7"/>
  <c r="P58" i="7"/>
  <c r="P59" i="7"/>
  <c r="P60" i="7"/>
  <c r="P61" i="7"/>
  <c r="P62" i="7"/>
  <c r="P63" i="7"/>
  <c r="P64" i="7"/>
  <c r="P65" i="7"/>
  <c r="P66" i="7"/>
  <c r="P67" i="7"/>
  <c r="P68" i="7"/>
  <c r="P69" i="7"/>
  <c r="P70" i="7"/>
  <c r="P71" i="7"/>
  <c r="P72" i="7"/>
  <c r="P73" i="7"/>
  <c r="P74" i="7"/>
  <c r="P75" i="7"/>
  <c r="P76" i="7"/>
  <c r="P77" i="7"/>
  <c r="P78" i="7"/>
  <c r="P79" i="7"/>
  <c r="P80" i="7"/>
  <c r="P81" i="7"/>
  <c r="P82" i="7"/>
  <c r="P83" i="7"/>
  <c r="P87" i="7"/>
  <c r="P88" i="7"/>
  <c r="P89" i="7"/>
  <c r="P44" i="7"/>
  <c r="N45" i="7"/>
  <c r="N46" i="7"/>
  <c r="N47" i="7"/>
  <c r="N48" i="7"/>
  <c r="N49" i="7"/>
  <c r="N50" i="7"/>
  <c r="N51" i="7"/>
  <c r="N52" i="7"/>
  <c r="N53" i="7"/>
  <c r="N54" i="7"/>
  <c r="N55" i="7"/>
  <c r="N56" i="7"/>
  <c r="N57" i="7"/>
  <c r="N58" i="7"/>
  <c r="N59" i="7"/>
  <c r="N60" i="7"/>
  <c r="N61" i="7"/>
  <c r="N62" i="7"/>
  <c r="N63" i="7"/>
  <c r="N64" i="7"/>
  <c r="N65" i="7"/>
  <c r="N66" i="7"/>
  <c r="N67" i="7"/>
  <c r="N68" i="7"/>
  <c r="N69" i="7"/>
  <c r="N70" i="7"/>
  <c r="N71" i="7"/>
  <c r="N72" i="7"/>
  <c r="N73" i="7"/>
  <c r="N74" i="7"/>
  <c r="N75" i="7"/>
  <c r="N76" i="7"/>
  <c r="N77" i="7"/>
  <c r="N78" i="7"/>
  <c r="N79" i="7"/>
  <c r="N80" i="7"/>
  <c r="N81" i="7"/>
  <c r="N82" i="7"/>
  <c r="N83" i="7"/>
  <c r="N87" i="7"/>
  <c r="N88" i="7"/>
  <c r="N89" i="7"/>
  <c r="N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7" i="7"/>
  <c r="J88" i="7"/>
  <c r="J89" i="7"/>
  <c r="J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7" i="7"/>
  <c r="H88" i="7"/>
  <c r="H89" i="7"/>
  <c r="H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7" i="7"/>
  <c r="F88" i="7"/>
  <c r="F89" i="7"/>
  <c r="F44" i="7"/>
  <c r="D14" i="7"/>
  <c r="D13" i="7"/>
  <c r="D33" i="7"/>
  <c r="D23" i="7"/>
  <c r="D8" i="7"/>
  <c r="D11" i="7"/>
  <c r="O11" i="7" s="1"/>
  <c r="P11" i="7" s="1"/>
  <c r="D21" i="7"/>
  <c r="D22" i="7"/>
  <c r="D34" i="7"/>
  <c r="D28" i="7"/>
  <c r="D27" i="7"/>
  <c r="D26" i="7"/>
  <c r="D20" i="7"/>
  <c r="D32" i="7"/>
  <c r="D30" i="7"/>
  <c r="D24" i="7"/>
  <c r="D25" i="7"/>
  <c r="D19" i="7"/>
  <c r="D18" i="7"/>
  <c r="D17" i="7"/>
  <c r="D16" i="7"/>
  <c r="D31" i="7"/>
  <c r="D29" i="7"/>
  <c r="D15" i="7"/>
  <c r="D12" i="7"/>
  <c r="D9" i="7"/>
  <c r="D10" i="7"/>
  <c r="D37" i="7"/>
  <c r="E35" i="7"/>
  <c r="F35" i="7" s="1"/>
  <c r="G35" i="7"/>
  <c r="H35" i="7" s="1"/>
  <c r="I35" i="7"/>
  <c r="J35" i="7" s="1"/>
  <c r="K35" i="7"/>
  <c r="L35" i="7" s="1"/>
  <c r="M35" i="7"/>
  <c r="N35" i="7" s="1"/>
  <c r="O35" i="7"/>
  <c r="P35" i="7" s="1"/>
  <c r="Q35" i="7"/>
  <c r="R35" i="7" s="1"/>
  <c r="S89" i="7" l="1"/>
  <c r="S86" i="7"/>
  <c r="S79" i="7"/>
  <c r="S73" i="7"/>
  <c r="S67" i="7"/>
  <c r="S55" i="7"/>
  <c r="S49" i="7"/>
  <c r="S85" i="7"/>
  <c r="S84" i="7"/>
  <c r="S87" i="7"/>
  <c r="S61" i="7"/>
  <c r="S56" i="7"/>
  <c r="S35" i="7"/>
  <c r="S88" i="7"/>
  <c r="S52" i="7"/>
  <c r="S82" i="7"/>
  <c r="S76" i="7"/>
  <c r="S70" i="7"/>
  <c r="S58" i="7"/>
  <c r="S46" i="7"/>
  <c r="S48" i="7"/>
  <c r="S54" i="7"/>
  <c r="S60" i="7"/>
  <c r="S59" i="7"/>
  <c r="S63" i="7"/>
  <c r="S57" i="7"/>
  <c r="S45" i="7"/>
  <c r="S71" i="7"/>
  <c r="S53" i="7"/>
  <c r="S44" i="7"/>
  <c r="S77" i="7"/>
  <c r="S47" i="7"/>
  <c r="S64" i="7"/>
  <c r="S72" i="7"/>
  <c r="S69" i="7"/>
  <c r="S68" i="7"/>
  <c r="S62" i="7"/>
  <c r="S74" i="7"/>
  <c r="S75" i="7"/>
  <c r="S78" i="7"/>
  <c r="S50" i="7"/>
  <c r="S51" i="7"/>
  <c r="S65" i="7"/>
  <c r="S66" i="7"/>
  <c r="S80" i="7"/>
  <c r="S81" i="7"/>
  <c r="S83" i="7"/>
  <c r="D36" i="7"/>
  <c r="D38" i="7" s="1"/>
  <c r="S38" i="7"/>
  <c r="Q34" i="7"/>
  <c r="R34" i="7" s="1"/>
  <c r="O34" i="7"/>
  <c r="P34" i="7" s="1"/>
  <c r="M34" i="7"/>
  <c r="N34" i="7" s="1"/>
  <c r="K34" i="7"/>
  <c r="L34" i="7" s="1"/>
  <c r="I34" i="7"/>
  <c r="J34" i="7" s="1"/>
  <c r="G34" i="7"/>
  <c r="H34" i="7" s="1"/>
  <c r="E34" i="7"/>
  <c r="F34" i="7" s="1"/>
  <c r="Q33" i="7"/>
  <c r="R33" i="7" s="1"/>
  <c r="O33" i="7"/>
  <c r="P33" i="7" s="1"/>
  <c r="M33" i="7"/>
  <c r="N33" i="7" s="1"/>
  <c r="K33" i="7"/>
  <c r="L33" i="7" s="1"/>
  <c r="I33" i="7"/>
  <c r="J33" i="7" s="1"/>
  <c r="G33" i="7"/>
  <c r="H33" i="7" s="1"/>
  <c r="E33" i="7"/>
  <c r="F33" i="7" s="1"/>
  <c r="Q32" i="7"/>
  <c r="R32" i="7" s="1"/>
  <c r="O32" i="7"/>
  <c r="P32" i="7" s="1"/>
  <c r="M32" i="7"/>
  <c r="N32" i="7" s="1"/>
  <c r="K32" i="7"/>
  <c r="L32" i="7" s="1"/>
  <c r="I32" i="7"/>
  <c r="J32" i="7" s="1"/>
  <c r="G32" i="7"/>
  <c r="H32" i="7" s="1"/>
  <c r="E32" i="7"/>
  <c r="F32" i="7" s="1"/>
  <c r="Q31" i="7"/>
  <c r="R31" i="7" s="1"/>
  <c r="O31" i="7"/>
  <c r="P31" i="7" s="1"/>
  <c r="M31" i="7"/>
  <c r="N31" i="7" s="1"/>
  <c r="K31" i="7"/>
  <c r="L31" i="7" s="1"/>
  <c r="I31" i="7"/>
  <c r="J31" i="7" s="1"/>
  <c r="G31" i="7"/>
  <c r="H31" i="7" s="1"/>
  <c r="E31" i="7"/>
  <c r="F31" i="7" s="1"/>
  <c r="Q30" i="7"/>
  <c r="R30" i="7" s="1"/>
  <c r="O30" i="7"/>
  <c r="P30" i="7" s="1"/>
  <c r="M30" i="7"/>
  <c r="N30" i="7" s="1"/>
  <c r="K30" i="7"/>
  <c r="L30" i="7" s="1"/>
  <c r="I30" i="7"/>
  <c r="J30" i="7" s="1"/>
  <c r="G30" i="7"/>
  <c r="H30" i="7" s="1"/>
  <c r="E30" i="7"/>
  <c r="F30" i="7" s="1"/>
  <c r="Q29" i="7"/>
  <c r="R29" i="7" s="1"/>
  <c r="O29" i="7"/>
  <c r="P29" i="7" s="1"/>
  <c r="M29" i="7"/>
  <c r="N29" i="7" s="1"/>
  <c r="K29" i="7"/>
  <c r="L29" i="7" s="1"/>
  <c r="I29" i="7"/>
  <c r="J29" i="7" s="1"/>
  <c r="G29" i="7"/>
  <c r="H29" i="7" s="1"/>
  <c r="E29" i="7"/>
  <c r="F29" i="7" s="1"/>
  <c r="Q28" i="7"/>
  <c r="R28" i="7" s="1"/>
  <c r="O28" i="7"/>
  <c r="P28" i="7" s="1"/>
  <c r="M28" i="7"/>
  <c r="N28" i="7" s="1"/>
  <c r="K28" i="7"/>
  <c r="L28" i="7" s="1"/>
  <c r="I28" i="7"/>
  <c r="J28" i="7" s="1"/>
  <c r="G28" i="7"/>
  <c r="H28" i="7" s="1"/>
  <c r="E28" i="7"/>
  <c r="F28" i="7" s="1"/>
  <c r="Q27" i="7"/>
  <c r="R27" i="7" s="1"/>
  <c r="O27" i="7"/>
  <c r="P27" i="7" s="1"/>
  <c r="M27" i="7"/>
  <c r="N27" i="7" s="1"/>
  <c r="K27" i="7"/>
  <c r="L27" i="7" s="1"/>
  <c r="I27" i="7"/>
  <c r="J27" i="7" s="1"/>
  <c r="G27" i="7"/>
  <c r="H27" i="7" s="1"/>
  <c r="E27" i="7"/>
  <c r="F27" i="7" s="1"/>
  <c r="Q26" i="7"/>
  <c r="R26" i="7" s="1"/>
  <c r="O26" i="7"/>
  <c r="P26" i="7" s="1"/>
  <c r="M26" i="7"/>
  <c r="N26" i="7" s="1"/>
  <c r="K26" i="7"/>
  <c r="L26" i="7" s="1"/>
  <c r="I26" i="7"/>
  <c r="J26" i="7" s="1"/>
  <c r="G26" i="7"/>
  <c r="H26" i="7" s="1"/>
  <c r="E26" i="7"/>
  <c r="F26" i="7" s="1"/>
  <c r="Q25" i="7"/>
  <c r="R25" i="7" s="1"/>
  <c r="O25" i="7"/>
  <c r="P25" i="7" s="1"/>
  <c r="M25" i="7"/>
  <c r="N25" i="7" s="1"/>
  <c r="K25" i="7"/>
  <c r="L25" i="7" s="1"/>
  <c r="I25" i="7"/>
  <c r="J25" i="7" s="1"/>
  <c r="G25" i="7"/>
  <c r="H25" i="7" s="1"/>
  <c r="E25" i="7"/>
  <c r="F25" i="7" s="1"/>
  <c r="Q24" i="7"/>
  <c r="R24" i="7" s="1"/>
  <c r="O24" i="7"/>
  <c r="P24" i="7" s="1"/>
  <c r="M24" i="7"/>
  <c r="N24" i="7" s="1"/>
  <c r="K24" i="7"/>
  <c r="L24" i="7" s="1"/>
  <c r="I24" i="7"/>
  <c r="J24" i="7" s="1"/>
  <c r="G24" i="7"/>
  <c r="H24" i="7" s="1"/>
  <c r="E24" i="7"/>
  <c r="F24" i="7" s="1"/>
  <c r="Q23" i="7"/>
  <c r="R23" i="7" s="1"/>
  <c r="O23" i="7"/>
  <c r="P23" i="7" s="1"/>
  <c r="M23" i="7"/>
  <c r="N23" i="7" s="1"/>
  <c r="K23" i="7"/>
  <c r="L23" i="7" s="1"/>
  <c r="I23" i="7"/>
  <c r="J23" i="7" s="1"/>
  <c r="G23" i="7"/>
  <c r="H23" i="7" s="1"/>
  <c r="E23" i="7"/>
  <c r="F23" i="7" s="1"/>
  <c r="Q22" i="7"/>
  <c r="R22" i="7" s="1"/>
  <c r="O22" i="7"/>
  <c r="P22" i="7" s="1"/>
  <c r="M22" i="7"/>
  <c r="N22" i="7" s="1"/>
  <c r="K22" i="7"/>
  <c r="L22" i="7" s="1"/>
  <c r="I22" i="7"/>
  <c r="J22" i="7" s="1"/>
  <c r="G22" i="7"/>
  <c r="H22" i="7" s="1"/>
  <c r="E22" i="7"/>
  <c r="F22" i="7" s="1"/>
  <c r="Q21" i="7"/>
  <c r="R21" i="7" s="1"/>
  <c r="O21" i="7"/>
  <c r="P21" i="7" s="1"/>
  <c r="M21" i="7"/>
  <c r="N21" i="7" s="1"/>
  <c r="K21" i="7"/>
  <c r="L21" i="7" s="1"/>
  <c r="I21" i="7"/>
  <c r="J21" i="7" s="1"/>
  <c r="G21" i="7"/>
  <c r="H21" i="7" s="1"/>
  <c r="E21" i="7"/>
  <c r="F21" i="7" s="1"/>
  <c r="Q20" i="7"/>
  <c r="R20" i="7" s="1"/>
  <c r="O20" i="7"/>
  <c r="P20" i="7" s="1"/>
  <c r="M20" i="7"/>
  <c r="N20" i="7" s="1"/>
  <c r="K20" i="7"/>
  <c r="L20" i="7" s="1"/>
  <c r="I20" i="7"/>
  <c r="J20" i="7" s="1"/>
  <c r="G20" i="7"/>
  <c r="H20" i="7" s="1"/>
  <c r="E20" i="7"/>
  <c r="F20" i="7" s="1"/>
  <c r="Q19" i="7"/>
  <c r="R19" i="7" s="1"/>
  <c r="O19" i="7"/>
  <c r="P19" i="7" s="1"/>
  <c r="M19" i="7"/>
  <c r="N19" i="7" s="1"/>
  <c r="K19" i="7"/>
  <c r="L19" i="7" s="1"/>
  <c r="I19" i="7"/>
  <c r="J19" i="7" s="1"/>
  <c r="G19" i="7"/>
  <c r="H19" i="7" s="1"/>
  <c r="Q18" i="7"/>
  <c r="R18" i="7" s="1"/>
  <c r="O18" i="7"/>
  <c r="P18" i="7" s="1"/>
  <c r="M18" i="7"/>
  <c r="N18" i="7" s="1"/>
  <c r="K18" i="7"/>
  <c r="L18" i="7" s="1"/>
  <c r="I18" i="7"/>
  <c r="J18" i="7" s="1"/>
  <c r="G18" i="7"/>
  <c r="H18" i="7" s="1"/>
  <c r="E18" i="7"/>
  <c r="F18" i="7" s="1"/>
  <c r="Q17" i="7"/>
  <c r="R17" i="7" s="1"/>
  <c r="O17" i="7"/>
  <c r="P17" i="7" s="1"/>
  <c r="M17" i="7"/>
  <c r="N17" i="7" s="1"/>
  <c r="K17" i="7"/>
  <c r="L17" i="7" s="1"/>
  <c r="I17" i="7"/>
  <c r="J17" i="7" s="1"/>
  <c r="G17" i="7"/>
  <c r="H17" i="7" s="1"/>
  <c r="E17" i="7"/>
  <c r="F17" i="7" s="1"/>
  <c r="Q16" i="7"/>
  <c r="R16" i="7" s="1"/>
  <c r="O16" i="7"/>
  <c r="P16" i="7" s="1"/>
  <c r="M16" i="7"/>
  <c r="N16" i="7" s="1"/>
  <c r="K16" i="7"/>
  <c r="L16" i="7" s="1"/>
  <c r="I16" i="7"/>
  <c r="J16" i="7" s="1"/>
  <c r="G16" i="7"/>
  <c r="H16" i="7" s="1"/>
  <c r="E16" i="7"/>
  <c r="F16" i="7" s="1"/>
  <c r="Q15" i="7"/>
  <c r="R15" i="7" s="1"/>
  <c r="O15" i="7"/>
  <c r="P15" i="7" s="1"/>
  <c r="M15" i="7"/>
  <c r="N15" i="7" s="1"/>
  <c r="K15" i="7"/>
  <c r="L15" i="7" s="1"/>
  <c r="I15" i="7"/>
  <c r="J15" i="7" s="1"/>
  <c r="G15" i="7"/>
  <c r="H15" i="7" s="1"/>
  <c r="E15" i="7"/>
  <c r="F15" i="7" s="1"/>
  <c r="Q14" i="7"/>
  <c r="R14" i="7" s="1"/>
  <c r="O14" i="7"/>
  <c r="P14" i="7" s="1"/>
  <c r="M14" i="7"/>
  <c r="N14" i="7" s="1"/>
  <c r="K14" i="7"/>
  <c r="L14" i="7" s="1"/>
  <c r="I14" i="7"/>
  <c r="J14" i="7" s="1"/>
  <c r="G14" i="7"/>
  <c r="H14" i="7" s="1"/>
  <c r="E14" i="7"/>
  <c r="F14" i="7" s="1"/>
  <c r="Q13" i="7"/>
  <c r="R13" i="7" s="1"/>
  <c r="O13" i="7"/>
  <c r="P13" i="7" s="1"/>
  <c r="M13" i="7"/>
  <c r="N13" i="7" s="1"/>
  <c r="K13" i="7"/>
  <c r="L13" i="7" s="1"/>
  <c r="I13" i="7"/>
  <c r="J13" i="7" s="1"/>
  <c r="G13" i="7"/>
  <c r="H13" i="7" s="1"/>
  <c r="E13" i="7"/>
  <c r="F13" i="7" s="1"/>
  <c r="Q12" i="7"/>
  <c r="R12" i="7" s="1"/>
  <c r="O12" i="7"/>
  <c r="P12" i="7" s="1"/>
  <c r="M12" i="7"/>
  <c r="N12" i="7" s="1"/>
  <c r="K12" i="7"/>
  <c r="L12" i="7" s="1"/>
  <c r="I12" i="7"/>
  <c r="J12" i="7" s="1"/>
  <c r="G12" i="7"/>
  <c r="H12" i="7" s="1"/>
  <c r="E12" i="7"/>
  <c r="F12" i="7" s="1"/>
  <c r="Q11" i="7"/>
  <c r="R11" i="7" s="1"/>
  <c r="M11" i="7"/>
  <c r="N11" i="7" s="1"/>
  <c r="K11" i="7"/>
  <c r="L11" i="7" s="1"/>
  <c r="I11" i="7"/>
  <c r="J11" i="7" s="1"/>
  <c r="G11" i="7"/>
  <c r="H11" i="7" s="1"/>
  <c r="E11" i="7"/>
  <c r="F11" i="7" s="1"/>
  <c r="Q10" i="7"/>
  <c r="R10" i="7" s="1"/>
  <c r="O10" i="7"/>
  <c r="P10" i="7" s="1"/>
  <c r="M10" i="7"/>
  <c r="N10" i="7" s="1"/>
  <c r="K10" i="7"/>
  <c r="L10" i="7" s="1"/>
  <c r="I10" i="7"/>
  <c r="J10" i="7" s="1"/>
  <c r="G10" i="7"/>
  <c r="H10" i="7" s="1"/>
  <c r="E10" i="7"/>
  <c r="F10" i="7" s="1"/>
  <c r="Q9" i="7"/>
  <c r="R9" i="7" s="1"/>
  <c r="O9" i="7"/>
  <c r="P9" i="7" s="1"/>
  <c r="M9" i="7"/>
  <c r="N9" i="7" s="1"/>
  <c r="K9" i="7"/>
  <c r="L9" i="7" s="1"/>
  <c r="I9" i="7"/>
  <c r="J9" i="7" s="1"/>
  <c r="G9" i="7"/>
  <c r="H9" i="7" s="1"/>
  <c r="E9" i="7"/>
  <c r="F9" i="7" s="1"/>
  <c r="A9" i="7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Q8" i="7"/>
  <c r="O8" i="7"/>
  <c r="M8" i="7"/>
  <c r="K8" i="7"/>
  <c r="I8" i="7"/>
  <c r="G8" i="7"/>
  <c r="E8" i="7"/>
  <c r="E36" i="7" l="1"/>
  <c r="G36" i="7"/>
  <c r="G37" i="7" s="1"/>
  <c r="J8" i="7"/>
  <c r="J36" i="7" s="1"/>
  <c r="J37" i="7" s="1"/>
  <c r="I36" i="7"/>
  <c r="I37" i="7" s="1"/>
  <c r="L8" i="7"/>
  <c r="L36" i="7" s="1"/>
  <c r="L37" i="7" s="1"/>
  <c r="K36" i="7"/>
  <c r="K37" i="7" s="1"/>
  <c r="R8" i="7"/>
  <c r="R36" i="7" s="1"/>
  <c r="R37" i="7" s="1"/>
  <c r="Q36" i="7"/>
  <c r="Q37" i="7" s="1"/>
  <c r="N8" i="7"/>
  <c r="N36" i="7" s="1"/>
  <c r="N37" i="7" s="1"/>
  <c r="M36" i="7"/>
  <c r="M37" i="7" s="1"/>
  <c r="P8" i="7"/>
  <c r="P36" i="7" s="1"/>
  <c r="P37" i="7" s="1"/>
  <c r="O36" i="7"/>
  <c r="O37" i="7" s="1"/>
  <c r="F8" i="7"/>
  <c r="F36" i="7" s="1"/>
  <c r="F37" i="7" s="1"/>
  <c r="S23" i="7"/>
  <c r="S14" i="7"/>
  <c r="H8" i="7"/>
  <c r="H36" i="7" s="1"/>
  <c r="H37" i="7" s="1"/>
  <c r="S13" i="7"/>
  <c r="S20" i="7"/>
  <c r="S30" i="7"/>
  <c r="S15" i="7"/>
  <c r="S22" i="7"/>
  <c r="S29" i="7"/>
  <c r="S21" i="7"/>
  <c r="S28" i="7"/>
  <c r="S27" i="7"/>
  <c r="S34" i="7"/>
  <c r="S12" i="7"/>
  <c r="S19" i="7"/>
  <c r="S26" i="7"/>
  <c r="S11" i="7"/>
  <c r="S33" i="7"/>
  <c r="S18" i="7"/>
  <c r="S25" i="7"/>
  <c r="S32" i="7"/>
  <c r="S17" i="7"/>
  <c r="S24" i="7"/>
  <c r="S31" i="7"/>
  <c r="S9" i="7"/>
  <c r="S16" i="7"/>
  <c r="S37" i="7" l="1"/>
  <c r="S10" i="7"/>
  <c r="S8" i="7"/>
  <c r="S36" i="7" l="1"/>
  <c r="R87" i="6"/>
  <c r="Q87" i="6"/>
  <c r="Q88" i="6" s="1"/>
  <c r="P87" i="6"/>
  <c r="O87" i="6"/>
  <c r="N87" i="6"/>
  <c r="M87" i="6"/>
  <c r="L87" i="6"/>
  <c r="K87" i="6"/>
  <c r="J87" i="6"/>
  <c r="I87" i="6"/>
  <c r="H87" i="6"/>
  <c r="G87" i="6"/>
  <c r="F87" i="6"/>
  <c r="E87" i="6"/>
  <c r="Q86" i="6"/>
  <c r="O86" i="6"/>
  <c r="M86" i="6"/>
  <c r="K86" i="6"/>
  <c r="I86" i="6"/>
  <c r="G86" i="6"/>
  <c r="E86" i="6"/>
  <c r="R85" i="6"/>
  <c r="P85" i="6"/>
  <c r="N85" i="6"/>
  <c r="L85" i="6"/>
  <c r="J85" i="6"/>
  <c r="H85" i="6"/>
  <c r="F85" i="6"/>
  <c r="R84" i="6"/>
  <c r="P84" i="6"/>
  <c r="N84" i="6"/>
  <c r="L84" i="6"/>
  <c r="J84" i="6"/>
  <c r="H84" i="6"/>
  <c r="F84" i="6"/>
  <c r="R83" i="6"/>
  <c r="P83" i="6"/>
  <c r="N83" i="6"/>
  <c r="L83" i="6"/>
  <c r="J83" i="6"/>
  <c r="H83" i="6"/>
  <c r="F83" i="6"/>
  <c r="R82" i="6"/>
  <c r="P82" i="6"/>
  <c r="N82" i="6"/>
  <c r="L82" i="6"/>
  <c r="J82" i="6"/>
  <c r="H82" i="6"/>
  <c r="F82" i="6"/>
  <c r="R81" i="6"/>
  <c r="P81" i="6"/>
  <c r="N81" i="6"/>
  <c r="L81" i="6"/>
  <c r="J81" i="6"/>
  <c r="H81" i="6"/>
  <c r="F81" i="6"/>
  <c r="R80" i="6"/>
  <c r="P80" i="6"/>
  <c r="N80" i="6"/>
  <c r="L80" i="6"/>
  <c r="J80" i="6"/>
  <c r="H80" i="6"/>
  <c r="F80" i="6"/>
  <c r="R79" i="6"/>
  <c r="P79" i="6"/>
  <c r="N79" i="6"/>
  <c r="L79" i="6"/>
  <c r="J79" i="6"/>
  <c r="H79" i="6"/>
  <c r="F79" i="6"/>
  <c r="R78" i="6"/>
  <c r="P78" i="6"/>
  <c r="N78" i="6"/>
  <c r="L78" i="6"/>
  <c r="J78" i="6"/>
  <c r="H78" i="6"/>
  <c r="F78" i="6"/>
  <c r="R77" i="6"/>
  <c r="P77" i="6"/>
  <c r="N77" i="6"/>
  <c r="L77" i="6"/>
  <c r="J77" i="6"/>
  <c r="H77" i="6"/>
  <c r="F77" i="6"/>
  <c r="R76" i="6"/>
  <c r="P76" i="6"/>
  <c r="N76" i="6"/>
  <c r="L76" i="6"/>
  <c r="J76" i="6"/>
  <c r="H76" i="6"/>
  <c r="F76" i="6"/>
  <c r="S76" i="6" s="1"/>
  <c r="R75" i="6"/>
  <c r="P75" i="6"/>
  <c r="N75" i="6"/>
  <c r="L75" i="6"/>
  <c r="J75" i="6"/>
  <c r="H75" i="6"/>
  <c r="F75" i="6"/>
  <c r="R74" i="6"/>
  <c r="P74" i="6"/>
  <c r="N74" i="6"/>
  <c r="L74" i="6"/>
  <c r="J74" i="6"/>
  <c r="H74" i="6"/>
  <c r="F74" i="6"/>
  <c r="R73" i="6"/>
  <c r="P73" i="6"/>
  <c r="N73" i="6"/>
  <c r="L73" i="6"/>
  <c r="J73" i="6"/>
  <c r="H73" i="6"/>
  <c r="F73" i="6"/>
  <c r="R72" i="6"/>
  <c r="P72" i="6"/>
  <c r="N72" i="6"/>
  <c r="L72" i="6"/>
  <c r="J72" i="6"/>
  <c r="H72" i="6"/>
  <c r="F72" i="6"/>
  <c r="R71" i="6"/>
  <c r="P71" i="6"/>
  <c r="N71" i="6"/>
  <c r="L71" i="6"/>
  <c r="J71" i="6"/>
  <c r="H71" i="6"/>
  <c r="S71" i="6" s="1"/>
  <c r="F71" i="6"/>
  <c r="R70" i="6"/>
  <c r="P70" i="6"/>
  <c r="N70" i="6"/>
  <c r="L70" i="6"/>
  <c r="J70" i="6"/>
  <c r="H70" i="6"/>
  <c r="F70" i="6"/>
  <c r="R69" i="6"/>
  <c r="P69" i="6"/>
  <c r="N69" i="6"/>
  <c r="L69" i="6"/>
  <c r="J69" i="6"/>
  <c r="H69" i="6"/>
  <c r="F69" i="6"/>
  <c r="R68" i="6"/>
  <c r="P68" i="6"/>
  <c r="N68" i="6"/>
  <c r="L68" i="6"/>
  <c r="J68" i="6"/>
  <c r="H68" i="6"/>
  <c r="F68" i="6"/>
  <c r="R67" i="6"/>
  <c r="P67" i="6"/>
  <c r="N67" i="6"/>
  <c r="L67" i="6"/>
  <c r="J67" i="6"/>
  <c r="H67" i="6"/>
  <c r="F67" i="6"/>
  <c r="R66" i="6"/>
  <c r="P66" i="6"/>
  <c r="N66" i="6"/>
  <c r="L66" i="6"/>
  <c r="J66" i="6"/>
  <c r="H66" i="6"/>
  <c r="F66" i="6"/>
  <c r="R65" i="6"/>
  <c r="P65" i="6"/>
  <c r="N65" i="6"/>
  <c r="L65" i="6"/>
  <c r="J65" i="6"/>
  <c r="H65" i="6"/>
  <c r="F65" i="6"/>
  <c r="R64" i="6"/>
  <c r="P64" i="6"/>
  <c r="N64" i="6"/>
  <c r="L64" i="6"/>
  <c r="J64" i="6"/>
  <c r="H64" i="6"/>
  <c r="F64" i="6"/>
  <c r="S64" i="6" s="1"/>
  <c r="R63" i="6"/>
  <c r="P63" i="6"/>
  <c r="N63" i="6"/>
  <c r="L63" i="6"/>
  <c r="J63" i="6"/>
  <c r="H63" i="6"/>
  <c r="F63" i="6"/>
  <c r="R62" i="6"/>
  <c r="P62" i="6"/>
  <c r="N62" i="6"/>
  <c r="L62" i="6"/>
  <c r="J62" i="6"/>
  <c r="H62" i="6"/>
  <c r="F62" i="6"/>
  <c r="R61" i="6"/>
  <c r="P61" i="6"/>
  <c r="N61" i="6"/>
  <c r="L61" i="6"/>
  <c r="J61" i="6"/>
  <c r="H61" i="6"/>
  <c r="F61" i="6"/>
  <c r="R60" i="6"/>
  <c r="P60" i="6"/>
  <c r="N60" i="6"/>
  <c r="L60" i="6"/>
  <c r="J60" i="6"/>
  <c r="H60" i="6"/>
  <c r="F60" i="6"/>
  <c r="R59" i="6"/>
  <c r="P59" i="6"/>
  <c r="N59" i="6"/>
  <c r="L59" i="6"/>
  <c r="J59" i="6"/>
  <c r="H59" i="6"/>
  <c r="S59" i="6" s="1"/>
  <c r="F59" i="6"/>
  <c r="R58" i="6"/>
  <c r="P58" i="6"/>
  <c r="N58" i="6"/>
  <c r="L58" i="6"/>
  <c r="J58" i="6"/>
  <c r="H58" i="6"/>
  <c r="F58" i="6"/>
  <c r="R57" i="6"/>
  <c r="P57" i="6"/>
  <c r="N57" i="6"/>
  <c r="L57" i="6"/>
  <c r="J57" i="6"/>
  <c r="H57" i="6"/>
  <c r="F57" i="6"/>
  <c r="R56" i="6"/>
  <c r="P56" i="6"/>
  <c r="N56" i="6"/>
  <c r="L56" i="6"/>
  <c r="J56" i="6"/>
  <c r="H56" i="6"/>
  <c r="F56" i="6"/>
  <c r="R55" i="6"/>
  <c r="P55" i="6"/>
  <c r="N55" i="6"/>
  <c r="L55" i="6"/>
  <c r="J55" i="6"/>
  <c r="H55" i="6"/>
  <c r="F55" i="6"/>
  <c r="R54" i="6"/>
  <c r="P54" i="6"/>
  <c r="N54" i="6"/>
  <c r="L54" i="6"/>
  <c r="J54" i="6"/>
  <c r="H54" i="6"/>
  <c r="F54" i="6"/>
  <c r="R53" i="6"/>
  <c r="P53" i="6"/>
  <c r="N53" i="6"/>
  <c r="L53" i="6"/>
  <c r="J53" i="6"/>
  <c r="H53" i="6"/>
  <c r="F53" i="6"/>
  <c r="R52" i="6"/>
  <c r="P52" i="6"/>
  <c r="N52" i="6"/>
  <c r="L52" i="6"/>
  <c r="J52" i="6"/>
  <c r="H52" i="6"/>
  <c r="F52" i="6"/>
  <c r="S52" i="6" s="1"/>
  <c r="R51" i="6"/>
  <c r="P51" i="6"/>
  <c r="N51" i="6"/>
  <c r="L51" i="6"/>
  <c r="J51" i="6"/>
  <c r="H51" i="6"/>
  <c r="F51" i="6"/>
  <c r="R50" i="6"/>
  <c r="P50" i="6"/>
  <c r="N50" i="6"/>
  <c r="L50" i="6"/>
  <c r="J50" i="6"/>
  <c r="H50" i="6"/>
  <c r="F50" i="6"/>
  <c r="R49" i="6"/>
  <c r="P49" i="6"/>
  <c r="N49" i="6"/>
  <c r="L49" i="6"/>
  <c r="J49" i="6"/>
  <c r="H49" i="6"/>
  <c r="F49" i="6"/>
  <c r="R48" i="6"/>
  <c r="P48" i="6"/>
  <c r="N48" i="6"/>
  <c r="L48" i="6"/>
  <c r="J48" i="6"/>
  <c r="H48" i="6"/>
  <c r="F48" i="6"/>
  <c r="R47" i="6"/>
  <c r="P47" i="6"/>
  <c r="N47" i="6"/>
  <c r="L47" i="6"/>
  <c r="J47" i="6"/>
  <c r="H47" i="6"/>
  <c r="S47" i="6" s="1"/>
  <c r="F47" i="6"/>
  <c r="R46" i="6"/>
  <c r="P46" i="6"/>
  <c r="N46" i="6"/>
  <c r="L46" i="6"/>
  <c r="J46" i="6"/>
  <c r="H46" i="6"/>
  <c r="F46" i="6"/>
  <c r="R45" i="6"/>
  <c r="P45" i="6"/>
  <c r="N45" i="6"/>
  <c r="L45" i="6"/>
  <c r="J45" i="6"/>
  <c r="H45" i="6"/>
  <c r="F45" i="6"/>
  <c r="R44" i="6"/>
  <c r="P44" i="6"/>
  <c r="N44" i="6"/>
  <c r="L44" i="6"/>
  <c r="J44" i="6"/>
  <c r="H44" i="6"/>
  <c r="F44" i="6"/>
  <c r="S38" i="6"/>
  <c r="S87" i="6" s="1"/>
  <c r="D38" i="6"/>
  <c r="D36" i="6"/>
  <c r="R35" i="6"/>
  <c r="Q35" i="6"/>
  <c r="O35" i="6"/>
  <c r="P35" i="6" s="1"/>
  <c r="M35" i="6"/>
  <c r="N35" i="6" s="1"/>
  <c r="K35" i="6"/>
  <c r="L35" i="6" s="1"/>
  <c r="I35" i="6"/>
  <c r="J35" i="6" s="1"/>
  <c r="G35" i="6"/>
  <c r="H35" i="6" s="1"/>
  <c r="E35" i="6"/>
  <c r="F35" i="6" s="1"/>
  <c r="Q34" i="6"/>
  <c r="R34" i="6" s="1"/>
  <c r="O34" i="6"/>
  <c r="P34" i="6" s="1"/>
  <c r="M34" i="6"/>
  <c r="N34" i="6" s="1"/>
  <c r="K34" i="6"/>
  <c r="L34" i="6" s="1"/>
  <c r="I34" i="6"/>
  <c r="J34" i="6" s="1"/>
  <c r="G34" i="6"/>
  <c r="H34" i="6" s="1"/>
  <c r="E34" i="6"/>
  <c r="F34" i="6" s="1"/>
  <c r="Q33" i="6"/>
  <c r="R33" i="6" s="1"/>
  <c r="O33" i="6"/>
  <c r="P33" i="6" s="1"/>
  <c r="M33" i="6"/>
  <c r="N33" i="6" s="1"/>
  <c r="K33" i="6"/>
  <c r="L33" i="6" s="1"/>
  <c r="I33" i="6"/>
  <c r="J33" i="6" s="1"/>
  <c r="G33" i="6"/>
  <c r="H33" i="6" s="1"/>
  <c r="E33" i="6"/>
  <c r="F33" i="6" s="1"/>
  <c r="Q32" i="6"/>
  <c r="R32" i="6" s="1"/>
  <c r="O32" i="6"/>
  <c r="P32" i="6" s="1"/>
  <c r="M32" i="6"/>
  <c r="N32" i="6" s="1"/>
  <c r="K32" i="6"/>
  <c r="L32" i="6" s="1"/>
  <c r="I32" i="6"/>
  <c r="J32" i="6" s="1"/>
  <c r="H32" i="6"/>
  <c r="G32" i="6"/>
  <c r="E32" i="6"/>
  <c r="F32" i="6" s="1"/>
  <c r="Q31" i="6"/>
  <c r="R31" i="6" s="1"/>
  <c r="O31" i="6"/>
  <c r="P31" i="6" s="1"/>
  <c r="M31" i="6"/>
  <c r="N31" i="6" s="1"/>
  <c r="K31" i="6"/>
  <c r="L31" i="6" s="1"/>
  <c r="I31" i="6"/>
  <c r="J31" i="6" s="1"/>
  <c r="G31" i="6"/>
  <c r="H31" i="6" s="1"/>
  <c r="E31" i="6"/>
  <c r="F31" i="6" s="1"/>
  <c r="Q30" i="6"/>
  <c r="R30" i="6" s="1"/>
  <c r="O30" i="6"/>
  <c r="P30" i="6" s="1"/>
  <c r="M30" i="6"/>
  <c r="N30" i="6" s="1"/>
  <c r="K30" i="6"/>
  <c r="L30" i="6" s="1"/>
  <c r="I30" i="6"/>
  <c r="J30" i="6" s="1"/>
  <c r="G30" i="6"/>
  <c r="H30" i="6" s="1"/>
  <c r="E30" i="6"/>
  <c r="F30" i="6" s="1"/>
  <c r="Q29" i="6"/>
  <c r="R29" i="6" s="1"/>
  <c r="O29" i="6"/>
  <c r="P29" i="6" s="1"/>
  <c r="M29" i="6"/>
  <c r="N29" i="6" s="1"/>
  <c r="K29" i="6"/>
  <c r="L29" i="6" s="1"/>
  <c r="I29" i="6"/>
  <c r="J29" i="6" s="1"/>
  <c r="G29" i="6"/>
  <c r="H29" i="6" s="1"/>
  <c r="E29" i="6"/>
  <c r="F29" i="6" s="1"/>
  <c r="Q28" i="6"/>
  <c r="R28" i="6" s="1"/>
  <c r="O28" i="6"/>
  <c r="P28" i="6" s="1"/>
  <c r="M28" i="6"/>
  <c r="N28" i="6" s="1"/>
  <c r="K28" i="6"/>
  <c r="L28" i="6" s="1"/>
  <c r="I28" i="6"/>
  <c r="J28" i="6" s="1"/>
  <c r="G28" i="6"/>
  <c r="H28" i="6" s="1"/>
  <c r="E28" i="6"/>
  <c r="F28" i="6" s="1"/>
  <c r="Q27" i="6"/>
  <c r="R27" i="6" s="1"/>
  <c r="O27" i="6"/>
  <c r="P27" i="6" s="1"/>
  <c r="M27" i="6"/>
  <c r="N27" i="6" s="1"/>
  <c r="K27" i="6"/>
  <c r="L27" i="6" s="1"/>
  <c r="I27" i="6"/>
  <c r="J27" i="6" s="1"/>
  <c r="G27" i="6"/>
  <c r="H27" i="6" s="1"/>
  <c r="E27" i="6"/>
  <c r="F27" i="6" s="1"/>
  <c r="R26" i="6"/>
  <c r="Q26" i="6"/>
  <c r="O26" i="6"/>
  <c r="P26" i="6" s="1"/>
  <c r="M26" i="6"/>
  <c r="N26" i="6" s="1"/>
  <c r="K26" i="6"/>
  <c r="L26" i="6" s="1"/>
  <c r="I26" i="6"/>
  <c r="J26" i="6" s="1"/>
  <c r="G26" i="6"/>
  <c r="H26" i="6" s="1"/>
  <c r="E26" i="6"/>
  <c r="F26" i="6" s="1"/>
  <c r="Q25" i="6"/>
  <c r="R25" i="6" s="1"/>
  <c r="O25" i="6"/>
  <c r="P25" i="6" s="1"/>
  <c r="M25" i="6"/>
  <c r="N25" i="6" s="1"/>
  <c r="K25" i="6"/>
  <c r="L25" i="6" s="1"/>
  <c r="I25" i="6"/>
  <c r="J25" i="6" s="1"/>
  <c r="G25" i="6"/>
  <c r="H25" i="6" s="1"/>
  <c r="E25" i="6"/>
  <c r="F25" i="6" s="1"/>
  <c r="Q24" i="6"/>
  <c r="R24" i="6" s="1"/>
  <c r="O24" i="6"/>
  <c r="P24" i="6" s="1"/>
  <c r="M24" i="6"/>
  <c r="N24" i="6" s="1"/>
  <c r="K24" i="6"/>
  <c r="L24" i="6" s="1"/>
  <c r="I24" i="6"/>
  <c r="J24" i="6" s="1"/>
  <c r="G24" i="6"/>
  <c r="H24" i="6" s="1"/>
  <c r="E24" i="6"/>
  <c r="F24" i="6" s="1"/>
  <c r="Q23" i="6"/>
  <c r="R23" i="6" s="1"/>
  <c r="O23" i="6"/>
  <c r="P23" i="6" s="1"/>
  <c r="M23" i="6"/>
  <c r="N23" i="6" s="1"/>
  <c r="K23" i="6"/>
  <c r="L23" i="6" s="1"/>
  <c r="I23" i="6"/>
  <c r="J23" i="6" s="1"/>
  <c r="H23" i="6"/>
  <c r="G23" i="6"/>
  <c r="E23" i="6"/>
  <c r="F23" i="6" s="1"/>
  <c r="Q22" i="6"/>
  <c r="R22" i="6" s="1"/>
  <c r="O22" i="6"/>
  <c r="P22" i="6" s="1"/>
  <c r="M22" i="6"/>
  <c r="N22" i="6" s="1"/>
  <c r="K22" i="6"/>
  <c r="L22" i="6" s="1"/>
  <c r="I22" i="6"/>
  <c r="J22" i="6" s="1"/>
  <c r="G22" i="6"/>
  <c r="H22" i="6" s="1"/>
  <c r="E22" i="6"/>
  <c r="F22" i="6" s="1"/>
  <c r="Q21" i="6"/>
  <c r="R21" i="6" s="1"/>
  <c r="O21" i="6"/>
  <c r="P21" i="6" s="1"/>
  <c r="M21" i="6"/>
  <c r="N21" i="6" s="1"/>
  <c r="K21" i="6"/>
  <c r="L21" i="6" s="1"/>
  <c r="I21" i="6"/>
  <c r="J21" i="6" s="1"/>
  <c r="G21" i="6"/>
  <c r="H21" i="6" s="1"/>
  <c r="E21" i="6"/>
  <c r="F21" i="6" s="1"/>
  <c r="Q20" i="6"/>
  <c r="R20" i="6" s="1"/>
  <c r="O20" i="6"/>
  <c r="P20" i="6" s="1"/>
  <c r="M20" i="6"/>
  <c r="N20" i="6" s="1"/>
  <c r="K20" i="6"/>
  <c r="L20" i="6" s="1"/>
  <c r="I20" i="6"/>
  <c r="J20" i="6" s="1"/>
  <c r="G20" i="6"/>
  <c r="H20" i="6" s="1"/>
  <c r="E20" i="6"/>
  <c r="F20" i="6" s="1"/>
  <c r="Q19" i="6"/>
  <c r="R19" i="6" s="1"/>
  <c r="O19" i="6"/>
  <c r="P19" i="6" s="1"/>
  <c r="M19" i="6"/>
  <c r="N19" i="6" s="1"/>
  <c r="K19" i="6"/>
  <c r="L19" i="6" s="1"/>
  <c r="I19" i="6"/>
  <c r="J19" i="6" s="1"/>
  <c r="G19" i="6"/>
  <c r="H19" i="6" s="1"/>
  <c r="E19" i="6"/>
  <c r="F19" i="6" s="1"/>
  <c r="Q18" i="6"/>
  <c r="R18" i="6" s="1"/>
  <c r="O18" i="6"/>
  <c r="P18" i="6" s="1"/>
  <c r="M18" i="6"/>
  <c r="N18" i="6" s="1"/>
  <c r="K18" i="6"/>
  <c r="L18" i="6" s="1"/>
  <c r="I18" i="6"/>
  <c r="J18" i="6" s="1"/>
  <c r="G18" i="6"/>
  <c r="H18" i="6" s="1"/>
  <c r="E18" i="6"/>
  <c r="F18" i="6" s="1"/>
  <c r="R17" i="6"/>
  <c r="Q17" i="6"/>
  <c r="O17" i="6"/>
  <c r="P17" i="6" s="1"/>
  <c r="M17" i="6"/>
  <c r="N17" i="6" s="1"/>
  <c r="K17" i="6"/>
  <c r="L17" i="6" s="1"/>
  <c r="I17" i="6"/>
  <c r="J17" i="6" s="1"/>
  <c r="G17" i="6"/>
  <c r="H17" i="6" s="1"/>
  <c r="E17" i="6"/>
  <c r="F17" i="6" s="1"/>
  <c r="Q16" i="6"/>
  <c r="R16" i="6" s="1"/>
  <c r="O16" i="6"/>
  <c r="P16" i="6" s="1"/>
  <c r="M16" i="6"/>
  <c r="N16" i="6" s="1"/>
  <c r="K16" i="6"/>
  <c r="L16" i="6" s="1"/>
  <c r="J16" i="6"/>
  <c r="I16" i="6"/>
  <c r="G16" i="6"/>
  <c r="H16" i="6" s="1"/>
  <c r="E16" i="6"/>
  <c r="F16" i="6" s="1"/>
  <c r="Q15" i="6"/>
  <c r="R15" i="6" s="1"/>
  <c r="O15" i="6"/>
  <c r="P15" i="6" s="1"/>
  <c r="M15" i="6"/>
  <c r="N15" i="6" s="1"/>
  <c r="K15" i="6"/>
  <c r="L15" i="6" s="1"/>
  <c r="I15" i="6"/>
  <c r="J15" i="6" s="1"/>
  <c r="G15" i="6"/>
  <c r="H15" i="6" s="1"/>
  <c r="E15" i="6"/>
  <c r="F15" i="6" s="1"/>
  <c r="Q14" i="6"/>
  <c r="R14" i="6" s="1"/>
  <c r="O14" i="6"/>
  <c r="P14" i="6" s="1"/>
  <c r="M14" i="6"/>
  <c r="N14" i="6" s="1"/>
  <c r="K14" i="6"/>
  <c r="L14" i="6" s="1"/>
  <c r="I14" i="6"/>
  <c r="J14" i="6" s="1"/>
  <c r="H14" i="6"/>
  <c r="G14" i="6"/>
  <c r="E14" i="6"/>
  <c r="F14" i="6" s="1"/>
  <c r="Q13" i="6"/>
  <c r="R13" i="6" s="1"/>
  <c r="O13" i="6"/>
  <c r="P13" i="6" s="1"/>
  <c r="M13" i="6"/>
  <c r="N13" i="6" s="1"/>
  <c r="L13" i="6"/>
  <c r="K13" i="6"/>
  <c r="I13" i="6"/>
  <c r="J13" i="6" s="1"/>
  <c r="G13" i="6"/>
  <c r="H13" i="6" s="1"/>
  <c r="E13" i="6"/>
  <c r="F13" i="6" s="1"/>
  <c r="Q12" i="6"/>
  <c r="R12" i="6" s="1"/>
  <c r="O12" i="6"/>
  <c r="P12" i="6" s="1"/>
  <c r="M12" i="6"/>
  <c r="N12" i="6" s="1"/>
  <c r="K12" i="6"/>
  <c r="L12" i="6" s="1"/>
  <c r="I12" i="6"/>
  <c r="J12" i="6" s="1"/>
  <c r="G12" i="6"/>
  <c r="H12" i="6" s="1"/>
  <c r="E12" i="6"/>
  <c r="F12" i="6" s="1"/>
  <c r="Q11" i="6"/>
  <c r="R11" i="6" s="1"/>
  <c r="O11" i="6"/>
  <c r="P11" i="6" s="1"/>
  <c r="M11" i="6"/>
  <c r="N11" i="6" s="1"/>
  <c r="K11" i="6"/>
  <c r="L11" i="6" s="1"/>
  <c r="I11" i="6"/>
  <c r="J11" i="6" s="1"/>
  <c r="G11" i="6"/>
  <c r="H11" i="6" s="1"/>
  <c r="E11" i="6"/>
  <c r="F11" i="6" s="1"/>
  <c r="Q10" i="6"/>
  <c r="R10" i="6" s="1"/>
  <c r="O10" i="6"/>
  <c r="P10" i="6" s="1"/>
  <c r="M10" i="6"/>
  <c r="N10" i="6" s="1"/>
  <c r="K10" i="6"/>
  <c r="L10" i="6" s="1"/>
  <c r="I10" i="6"/>
  <c r="J10" i="6" s="1"/>
  <c r="G10" i="6"/>
  <c r="H10" i="6" s="1"/>
  <c r="E10" i="6"/>
  <c r="F10" i="6" s="1"/>
  <c r="A10" i="6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Q9" i="6"/>
  <c r="R9" i="6" s="1"/>
  <c r="O9" i="6"/>
  <c r="P9" i="6" s="1"/>
  <c r="M9" i="6"/>
  <c r="N9" i="6" s="1"/>
  <c r="K9" i="6"/>
  <c r="L9" i="6" s="1"/>
  <c r="I9" i="6"/>
  <c r="G9" i="6"/>
  <c r="E9" i="6"/>
  <c r="F9" i="6" s="1"/>
  <c r="I88" i="6" l="1"/>
  <c r="S54" i="6"/>
  <c r="S66" i="6"/>
  <c r="S78" i="6"/>
  <c r="O88" i="6"/>
  <c r="G36" i="6"/>
  <c r="G37" i="6" s="1"/>
  <c r="S44" i="6"/>
  <c r="S51" i="6"/>
  <c r="S56" i="6"/>
  <c r="S63" i="6"/>
  <c r="S68" i="6"/>
  <c r="S75" i="6"/>
  <c r="S80" i="6"/>
  <c r="E88" i="6"/>
  <c r="G88" i="6"/>
  <c r="S32" i="6"/>
  <c r="S18" i="6"/>
  <c r="S27" i="6"/>
  <c r="J86" i="6"/>
  <c r="J88" i="6" s="1"/>
  <c r="M88" i="6"/>
  <c r="S83" i="6"/>
  <c r="S23" i="6"/>
  <c r="S49" i="6"/>
  <c r="S61" i="6"/>
  <c r="S73" i="6"/>
  <c r="S85" i="6"/>
  <c r="I36" i="6"/>
  <c r="I37" i="6" s="1"/>
  <c r="M36" i="6"/>
  <c r="M37" i="6" s="1"/>
  <c r="O36" i="6"/>
  <c r="O37" i="6" s="1"/>
  <c r="S46" i="6"/>
  <c r="S58" i="6"/>
  <c r="S70" i="6"/>
  <c r="S82" i="6"/>
  <c r="L86" i="6"/>
  <c r="L88" i="6" s="1"/>
  <c r="N86" i="6"/>
  <c r="N88" i="6" s="1"/>
  <c r="S48" i="6"/>
  <c r="S53" i="6"/>
  <c r="S60" i="6"/>
  <c r="S65" i="6"/>
  <c r="S72" i="6"/>
  <c r="S77" i="6"/>
  <c r="S84" i="6"/>
  <c r="P86" i="6"/>
  <c r="P88" i="6" s="1"/>
  <c r="S55" i="6"/>
  <c r="S67" i="6"/>
  <c r="S79" i="6"/>
  <c r="S19" i="6"/>
  <c r="S28" i="6"/>
  <c r="R86" i="6"/>
  <c r="S14" i="6"/>
  <c r="S10" i="6"/>
  <c r="S45" i="6"/>
  <c r="S50" i="6"/>
  <c r="S57" i="6"/>
  <c r="S62" i="6"/>
  <c r="S69" i="6"/>
  <c r="S74" i="6"/>
  <c r="S81" i="6"/>
  <c r="K88" i="6"/>
  <c r="S31" i="6"/>
  <c r="S13" i="6"/>
  <c r="S22" i="6"/>
  <c r="S17" i="6"/>
  <c r="S26" i="6"/>
  <c r="S35" i="6"/>
  <c r="N36" i="6"/>
  <c r="N37" i="6" s="1"/>
  <c r="S12" i="6"/>
  <c r="S21" i="6"/>
  <c r="S30" i="6"/>
  <c r="S16" i="6"/>
  <c r="S25" i="6"/>
  <c r="S34" i="6"/>
  <c r="R88" i="6"/>
  <c r="P36" i="6"/>
  <c r="P37" i="6" s="1"/>
  <c r="R36" i="6"/>
  <c r="R37" i="6" s="1"/>
  <c r="S11" i="6"/>
  <c r="S20" i="6"/>
  <c r="S29" i="6"/>
  <c r="S15" i="6"/>
  <c r="S24" i="6"/>
  <c r="S33" i="6"/>
  <c r="J9" i="6"/>
  <c r="J36" i="6" s="1"/>
  <c r="J37" i="6" s="1"/>
  <c r="K36" i="6"/>
  <c r="F86" i="6"/>
  <c r="F88" i="6" s="1"/>
  <c r="H86" i="6"/>
  <c r="H88" i="6" s="1"/>
  <c r="E36" i="6"/>
  <c r="Q36" i="6"/>
  <c r="Q37" i="6" s="1"/>
  <c r="H9" i="6"/>
  <c r="H36" i="6" s="1"/>
  <c r="H37" i="6" s="1"/>
  <c r="S86" i="6" l="1"/>
  <c r="S88" i="6" s="1"/>
  <c r="K37" i="6"/>
  <c r="L36" i="6"/>
  <c r="L37" i="6" s="1"/>
  <c r="S9" i="6"/>
  <c r="E37" i="6"/>
  <c r="F36" i="6"/>
  <c r="S36" i="6" l="1"/>
  <c r="F37" i="6"/>
  <c r="S37" i="6" s="1"/>
  <c r="E37" i="7" l="1"/>
</calcChain>
</file>

<file path=xl/sharedStrings.xml><?xml version="1.0" encoding="utf-8"?>
<sst xmlns="http://schemas.openxmlformats.org/spreadsheetml/2006/main" count="334" uniqueCount="119">
  <si>
    <t>№ п/п</t>
  </si>
  <si>
    <t>код</t>
  </si>
  <si>
    <t>Наименование медицинской организации</t>
  </si>
  <si>
    <t>Компьютерная томография</t>
  </si>
  <si>
    <t>Магнитно резонансная томография</t>
  </si>
  <si>
    <t>Ультразвуковые исследования сердечно-сосудистой системы</t>
  </si>
  <si>
    <t>Эндоскопические диагностические исследования</t>
  </si>
  <si>
    <t>Молекулярно-генетические исследования с целью выявления онкологических заболеваний</t>
  </si>
  <si>
    <t>Патологоанатомические исследования с целью выявления онкологических заболеваний</t>
  </si>
  <si>
    <t>Тестирование на выявление новой коронавирусной инфекции ( COVID-19)</t>
  </si>
  <si>
    <t>Объём финансовых средств, 
тыс. руб.</t>
  </si>
  <si>
    <t>Количество услуг</t>
  </si>
  <si>
    <t>Объём финансовых средств, тыс. руб.</t>
  </si>
  <si>
    <t>ГБУЗ КО "Центральная городская клиническая больница"</t>
  </si>
  <si>
    <t>ГБУЗ КО "Городская больница № 2"</t>
  </si>
  <si>
    <t>ГБУЗ КО "Городская больница № 3"</t>
  </si>
  <si>
    <t>ГБУЗ КО "Городская больница № 4"</t>
  </si>
  <si>
    <t>ГБУЗ КО "Городская поликлиника № 3"</t>
  </si>
  <si>
    <t>ГБУЗ КО "Городская детская поликлиника "</t>
  </si>
  <si>
    <t>ГБУЗ КО "Багратионовская ЦРБ"</t>
  </si>
  <si>
    <t>ГБУЗ КО "Балтийская ЦРБ"</t>
  </si>
  <si>
    <t>ГБУЗ КО "Гвардейская ЦРБ"</t>
  </si>
  <si>
    <t>ГАУЗ КО "Гурьевская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</si>
  <si>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</si>
  <si>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</si>
  <si>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</si>
  <si>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</si>
  <si>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</si>
  <si>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"Межрайонная больница № 1"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</si>
  <si>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</si>
  <si>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</si>
  <si>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</si>
  <si>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</si>
  <si>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</si>
  <si>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"Славская ЦРБ"</t>
  </si>
  <si>
    <t>ГБУЗ КО "Советская ЦГБ"</t>
  </si>
  <si>
    <t>ГБУЗ КО "Черняховская ЦРБ"</t>
  </si>
  <si>
    <t>ФГБУ "1409 Военно-морской клинический госпиталь" МО РФ</t>
  </si>
  <si>
    <t>ЧУЗ "РЖД-МЕДИЦИНА" г.Калининград</t>
  </si>
  <si>
    <t>ИТОГО:</t>
  </si>
  <si>
    <t>неприкрепленные к МО</t>
  </si>
  <si>
    <t>Итого по Терпрогр.:</t>
  </si>
  <si>
    <t>ГБУЗ "Областная клиническая больница КО"</t>
  </si>
  <si>
    <t>ГБУЗ "Детская областная больница КО"</t>
  </si>
  <si>
    <t>ГБУЗ "Инфекционная больница КО"</t>
  </si>
  <si>
    <t xml:space="preserve">ГБУЗ "Центр специализированных видов медицинской помощи КО" </t>
  </si>
  <si>
    <t>ГБУЗ КО "Городская клиническая больница скорой медицинской помощи"</t>
  </si>
  <si>
    <t>ГБУЗ КО "Городская детская поликлиника"</t>
  </si>
  <si>
    <t>ФГБУ "Федеральный центр высоких медицинских технологий" МЗ РФ</t>
  </si>
  <si>
    <t>ЗАО "СЗ Центр доказательной медицины" (г.Санкт-Петербург)</t>
  </si>
  <si>
    <t>ООО "МРТ-Эксперт Калининград"</t>
  </si>
  <si>
    <t>ООО "ЛДЦ Международного института биологических систем - Калининград"</t>
  </si>
  <si>
    <t>ООО "НМЦ клинической лабораторной диагностики Ситилаб"</t>
  </si>
  <si>
    <t>ГБУЗ -</t>
  </si>
  <si>
    <t>Государственное бюджетное учреждение здравоохранения</t>
  </si>
  <si>
    <t>ЗАО -</t>
  </si>
  <si>
    <t>Закрытое акционерное общество</t>
  </si>
  <si>
    <t>ФГБУ -</t>
  </si>
  <si>
    <t xml:space="preserve">Федеральное государственное бюджетное учреждение </t>
  </si>
  <si>
    <t xml:space="preserve">КО - </t>
  </si>
  <si>
    <t>Калининградская область</t>
  </si>
  <si>
    <t>СЗ-</t>
  </si>
  <si>
    <t>Северо-западный</t>
  </si>
  <si>
    <t>ЦРБ-</t>
  </si>
  <si>
    <t>Центральная районная больница</t>
  </si>
  <si>
    <t xml:space="preserve">МО - </t>
  </si>
  <si>
    <t>Министерство обороны</t>
  </si>
  <si>
    <t>ЦГБ-</t>
  </si>
  <si>
    <t>Центральная городская больница</t>
  </si>
  <si>
    <t xml:space="preserve">МЗ - </t>
  </si>
  <si>
    <t>Министерство здравоохранения</t>
  </si>
  <si>
    <t xml:space="preserve">ЧУЗ - </t>
  </si>
  <si>
    <t>Частное учреждение здравоохранения</t>
  </si>
  <si>
    <t>РФ -</t>
  </si>
  <si>
    <t>Российская Федерация</t>
  </si>
  <si>
    <t>РЖД-</t>
  </si>
  <si>
    <t>Российские железные дороги</t>
  </si>
  <si>
    <t>ФГАОУ ВО -</t>
  </si>
  <si>
    <t>Федеральное государственное автономное образовательное учреждение высшего образования</t>
  </si>
  <si>
    <t xml:space="preserve">ООО - </t>
  </si>
  <si>
    <t>Общество с ограниченной ответственностью</t>
  </si>
  <si>
    <t xml:space="preserve">ЛДЦ - </t>
  </si>
  <si>
    <t>Лечебно диагностический центр</t>
  </si>
  <si>
    <t>Объем диагностических (лабораторных) исследований и объем финансовых средств, не включенных в подушевое финансирование в рамках базовой Программы обязательного медицинского страхования в разрезе медицинских организаций-фондодержателей на 2023 год</t>
  </si>
  <si>
    <t xml:space="preserve">Объем диагностических (лабораторных) исследований и объем финансовых средств, не включенных в подушевое финансирование в рамках базовой Программы обязательного медицинского страхования в разрезе медицинских организаций, выполняющих исследования, на 2023 год 
</t>
  </si>
  <si>
    <t>ООО "СПЕКТР КАЛИНИНГРАД"</t>
  </si>
  <si>
    <t xml:space="preserve">НМЦ - </t>
  </si>
  <si>
    <t>ТП</t>
  </si>
  <si>
    <t>проверка</t>
  </si>
  <si>
    <t>ООО "КЛИНИКА "ДОБРЫЙ ДОКТОРЪ"</t>
  </si>
  <si>
    <t>ООО "ОНКОЛОГИЧЕСКИЙ НАУЧНЫЙ ЦЕНТР"</t>
  </si>
  <si>
    <t>ООО "ВИТАЛАБ"</t>
  </si>
  <si>
    <t>ООО "НПФ "ХЕЛИКС"</t>
  </si>
  <si>
    <t>ООО "Медицинский центр "ВиоМар"</t>
  </si>
  <si>
    <t xml:space="preserve">НПФ - </t>
  </si>
  <si>
    <t>Научно-производственная фирма</t>
  </si>
  <si>
    <t>Научно-методический центр</t>
  </si>
  <si>
    <t>Приложение № 1.1.1</t>
  </si>
  <si>
    <t xml:space="preserve"> к протоколу № 14 заседания Комиссии</t>
  </si>
  <si>
    <t>от 30 декабря 2022 года</t>
  </si>
  <si>
    <t>ГБУЗ КО "Гурьевская ЦРБ"</t>
  </si>
  <si>
    <t>Численность застрахованных на 01.01.2022 г.</t>
  </si>
  <si>
    <t>ГБУЗ КО "Светловская ЦРБ"</t>
  </si>
  <si>
    <r>
      <t xml:space="preserve">(с изменениями от 28.02.2023 г., 28.04.2023 г., 31.05., </t>
    </r>
    <r>
      <rPr>
        <b/>
        <sz val="12"/>
        <color rgb="FFFF0000"/>
        <rFont val="Times New Roman"/>
        <family val="1"/>
        <charset val="204"/>
      </rPr>
      <t>30.07.</t>
    </r>
    <r>
      <rPr>
        <b/>
        <sz val="12"/>
        <rFont val="Times New Roman"/>
        <family val="1"/>
        <charset val="204"/>
      </rPr>
      <t>2023г.)</t>
    </r>
  </si>
  <si>
    <t>ФГБУ "1409 ВМКГ" МО РФ</t>
  </si>
  <si>
    <t>ЧУЗ "РЖД-МЕДИЦИНА" г.К-д</t>
  </si>
  <si>
    <r>
      <t xml:space="preserve">(с изменениями от 28.04., </t>
    </r>
    <r>
      <rPr>
        <b/>
        <sz val="12"/>
        <color rgb="FFFF0000"/>
        <rFont val="Times New Roman"/>
        <family val="1"/>
        <charset val="204"/>
      </rPr>
      <t>28.07.</t>
    </r>
    <r>
      <rPr>
        <b/>
        <sz val="12"/>
        <rFont val="Times New Roman"/>
        <family val="1"/>
        <charset val="204"/>
      </rPr>
      <t>2023 г.)</t>
    </r>
  </si>
  <si>
    <t>Объем диагностических (лабораторных) исследований и объем финансовых средств, не включенных в подушевое финансирование в рамках базовой Программы обязательного медицинского страхования в разрезе медицинских организаций-фондодержателей на 2024 год</t>
  </si>
  <si>
    <t>Численность застрахованных на 01.01.2023 г.</t>
  </si>
  <si>
    <t>ГБУЗ "Областная стоматологическая поликлиника КО"</t>
  </si>
  <si>
    <t>АО "МЕДИЦИНА"</t>
  </si>
  <si>
    <t>ООО "ГОРОДСКАЯ АМБУЛАТОРИЯ"</t>
  </si>
  <si>
    <t>ООО "МЕДКЛУБ"</t>
  </si>
  <si>
    <t xml:space="preserve">ФГАОУ ВО "Балтийский федеральный университет им. Иммануила Канта" </t>
  </si>
  <si>
    <r>
      <t xml:space="preserve">Объем диагностических (лабораторных) исследований и объем финансовых средств, не включенных в подушевое финансирование в рамках базовой Программы обязательного медицинского страхования в разрезе медицинских организаций, </t>
    </r>
    <r>
      <rPr>
        <b/>
        <u/>
        <sz val="14"/>
        <color rgb="FFFF0000"/>
        <rFont val="Times New Roman"/>
        <family val="1"/>
        <charset val="204"/>
      </rPr>
      <t>выполняющих исследования</t>
    </r>
    <r>
      <rPr>
        <b/>
        <sz val="14"/>
        <color rgb="FFFF0000"/>
        <rFont val="Times New Roman"/>
        <family val="1"/>
        <charset val="204"/>
      </rPr>
      <t xml:space="preserve">, на 2024 год 
</t>
    </r>
  </si>
  <si>
    <t>ОФС, тыс. руб.</t>
  </si>
  <si>
    <t>к Выписке из Протокола</t>
  </si>
  <si>
    <t>заседания Комиссии № 14 от 29.12.2023 года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</si>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</sst>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"/>
    <numFmt numFmtId="165" formatCode="_-* #,##0.00_р_._-;\-* #,##0.00_р_._-;_-* &quot;-&quot;??_р_._-;_-@_-"/>
    <numFmt numFmtId="166" formatCode="_-* #,##0_р_._-;\-* #,##0_р_._-;_-* &quot;-&quot;??_р_._-;_-@_-"/>
    <numFmt numFmtId="167" formatCode="_-* #,##0.00\ _₽_-;\-* #,##0.00\ _₽_-;_-* &quot;-&quot;??\ _₽_-;_-@_-"/>
    <numFmt numFmtId="168" formatCode="#,##0_ ;\-#,##0\ "/>
    <numFmt numFmtId="169" formatCode="#,##0.0000"/>
    <numFmt numFmtId="170" formatCode="#,##0.0\ _₽"/>
    <numFmt numFmtId="171" formatCode="#,##0\ _₽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9" tint="-0.24997711111789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b/>
      <sz val="11"/>
      <color rgb="FF0070C0"/>
      <name val="Calibri"/>
      <family val="2"/>
      <charset val="204"/>
      <scheme val="minor"/>
    </font>
    <font>
      <b/>
      <sz val="14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13" fillId="0" borderId="0"/>
  </cellStyleXfs>
  <cellXfs count="151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164" fontId="2" fillId="0" borderId="0" xfId="0" applyNumberFormat="1" applyFont="1" applyAlignment="1">
      <alignment vertical="top"/>
    </xf>
    <xf numFmtId="0" fontId="2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3" fontId="6" fillId="0" borderId="2" xfId="0" applyNumberFormat="1" applyFont="1" applyBorder="1" applyAlignment="1">
      <alignment horizontal="center" vertical="center"/>
    </xf>
    <xf numFmtId="165" fontId="2" fillId="0" borderId="0" xfId="1" applyFont="1" applyFill="1" applyAlignment="1">
      <alignment vertical="top"/>
    </xf>
    <xf numFmtId="0" fontId="2" fillId="0" borderId="2" xfId="0" applyFont="1" applyBorder="1" applyAlignment="1">
      <alignment horizontal="justify" vertical="top" wrapText="1"/>
    </xf>
    <xf numFmtId="164" fontId="6" fillId="0" borderId="2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justify" vertical="top" wrapText="1"/>
    </xf>
    <xf numFmtId="3" fontId="8" fillId="0" borderId="2" xfId="0" applyNumberFormat="1" applyFont="1" applyBorder="1" applyAlignment="1">
      <alignment horizontal="center" vertical="center"/>
    </xf>
    <xf numFmtId="164" fontId="8" fillId="0" borderId="2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vertical="top"/>
    </xf>
    <xf numFmtId="3" fontId="7" fillId="0" borderId="0" xfId="0" applyNumberFormat="1" applyFont="1" applyAlignment="1">
      <alignment horizontal="center" vertical="top"/>
    </xf>
    <xf numFmtId="164" fontId="7" fillId="0" borderId="0" xfId="1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horizontal="right" vertical="center"/>
    </xf>
    <xf numFmtId="164" fontId="7" fillId="0" borderId="0" xfId="0" applyNumberFormat="1" applyFont="1" applyAlignment="1">
      <alignment horizontal="center" vertical="top"/>
    </xf>
    <xf numFmtId="0" fontId="9" fillId="0" borderId="0" xfId="0" applyFont="1" applyAlignment="1">
      <alignment vertical="top"/>
    </xf>
    <xf numFmtId="164" fontId="9" fillId="0" borderId="0" xfId="1" applyNumberFormat="1" applyFont="1" applyFill="1" applyBorder="1" applyAlignment="1">
      <alignment horizontal="center" vertical="top"/>
    </xf>
    <xf numFmtId="3" fontId="9" fillId="0" borderId="0" xfId="0" applyNumberFormat="1" applyFont="1" applyAlignment="1">
      <alignment horizontal="center" vertical="top"/>
    </xf>
    <xf numFmtId="166" fontId="9" fillId="0" borderId="0" xfId="1" applyNumberFormat="1" applyFont="1" applyFill="1" applyBorder="1" applyAlignment="1">
      <alignment horizontal="center" vertical="top"/>
    </xf>
    <xf numFmtId="164" fontId="10" fillId="0" borderId="0" xfId="1" applyNumberFormat="1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11" fillId="0" borderId="0" xfId="0" applyFont="1" applyAlignment="1">
      <alignment vertical="top"/>
    </xf>
    <xf numFmtId="0" fontId="4" fillId="0" borderId="2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vertical="top"/>
    </xf>
    <xf numFmtId="3" fontId="7" fillId="0" borderId="0" xfId="0" applyNumberFormat="1" applyFont="1" applyAlignment="1">
      <alignment vertical="top"/>
    </xf>
    <xf numFmtId="164" fontId="7" fillId="0" borderId="0" xfId="0" applyNumberFormat="1" applyFont="1" applyAlignment="1">
      <alignment vertical="top"/>
    </xf>
    <xf numFmtId="0" fontId="14" fillId="0" borderId="0" xfId="2" applyFont="1" applyAlignment="1">
      <alignment vertical="top"/>
    </xf>
    <xf numFmtId="164" fontId="14" fillId="0" borderId="0" xfId="2" applyNumberFormat="1" applyFont="1" applyAlignment="1">
      <alignment vertical="top"/>
    </xf>
    <xf numFmtId="167" fontId="2" fillId="0" borderId="0" xfId="0" applyNumberFormat="1" applyFont="1" applyAlignment="1">
      <alignment vertical="top"/>
    </xf>
    <xf numFmtId="164" fontId="15" fillId="0" borderId="0" xfId="0" applyNumberFormat="1" applyFont="1" applyAlignment="1">
      <alignment horizontal="left" vertical="top"/>
    </xf>
    <xf numFmtId="0" fontId="15" fillId="0" borderId="0" xfId="0" applyFont="1" applyAlignment="1">
      <alignment vertical="top"/>
    </xf>
    <xf numFmtId="164" fontId="14" fillId="0" borderId="0" xfId="2" applyNumberFormat="1" applyFont="1" applyAlignment="1">
      <alignment horizontal="left" vertical="center"/>
    </xf>
    <xf numFmtId="0" fontId="14" fillId="0" borderId="0" xfId="2" applyFont="1" applyAlignment="1">
      <alignment vertical="center"/>
    </xf>
    <xf numFmtId="0" fontId="11" fillId="0" borderId="2" xfId="0" applyFont="1" applyBorder="1" applyAlignment="1">
      <alignment horizontal="center" vertical="top" wrapText="1"/>
    </xf>
    <xf numFmtId="167" fontId="16" fillId="0" borderId="0" xfId="0" applyNumberFormat="1" applyFont="1" applyAlignment="1">
      <alignment horizontal="right" vertical="center"/>
    </xf>
    <xf numFmtId="0" fontId="17" fillId="0" borderId="0" xfId="0" applyFont="1" applyAlignment="1">
      <alignment vertical="top" wrapText="1"/>
    </xf>
    <xf numFmtId="3" fontId="7" fillId="0" borderId="2" xfId="0" applyNumberFormat="1" applyFont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/>
    </xf>
    <xf numFmtId="3" fontId="6" fillId="0" borderId="2" xfId="0" applyNumberFormat="1" applyFont="1" applyBorder="1" applyAlignment="1">
      <alignment vertical="center"/>
    </xf>
    <xf numFmtId="164" fontId="6" fillId="0" borderId="2" xfId="1" applyNumberFormat="1" applyFont="1" applyFill="1" applyBorder="1" applyAlignment="1">
      <alignment vertical="center"/>
    </xf>
    <xf numFmtId="166" fontId="6" fillId="0" borderId="2" xfId="1" applyNumberFormat="1" applyFont="1" applyFill="1" applyBorder="1" applyAlignment="1">
      <alignment vertical="center"/>
    </xf>
    <xf numFmtId="3" fontId="8" fillId="0" borderId="2" xfId="1" applyNumberFormat="1" applyFont="1" applyFill="1" applyBorder="1" applyAlignment="1">
      <alignment vertical="center"/>
    </xf>
    <xf numFmtId="164" fontId="8" fillId="0" borderId="2" xfId="1" applyNumberFormat="1" applyFont="1" applyFill="1" applyBorder="1" applyAlignment="1">
      <alignment vertical="center"/>
    </xf>
    <xf numFmtId="3" fontId="8" fillId="0" borderId="2" xfId="0" applyNumberFormat="1" applyFont="1" applyBorder="1" applyAlignment="1">
      <alignment vertical="center"/>
    </xf>
    <xf numFmtId="166" fontId="8" fillId="0" borderId="2" xfId="1" applyNumberFormat="1" applyFont="1" applyFill="1" applyBorder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vertical="top"/>
    </xf>
    <xf numFmtId="0" fontId="18" fillId="2" borderId="2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4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top" wrapText="1"/>
    </xf>
    <xf numFmtId="164" fontId="8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164" fontId="11" fillId="0" borderId="2" xfId="1" applyNumberFormat="1" applyFont="1" applyFill="1" applyBorder="1" applyAlignment="1">
      <alignment vertical="center"/>
    </xf>
    <xf numFmtId="3" fontId="7" fillId="0" borderId="2" xfId="1" applyNumberFormat="1" applyFont="1" applyFill="1" applyBorder="1" applyAlignment="1">
      <alignment vertical="center"/>
    </xf>
    <xf numFmtId="164" fontId="7" fillId="0" borderId="2" xfId="1" applyNumberFormat="1" applyFont="1" applyFill="1" applyBorder="1" applyAlignment="1">
      <alignment vertical="center"/>
    </xf>
    <xf numFmtId="3" fontId="11" fillId="0" borderId="2" xfId="0" applyNumberFormat="1" applyFont="1" applyBorder="1" applyAlignment="1">
      <alignment vertical="center"/>
    </xf>
    <xf numFmtId="0" fontId="20" fillId="0" borderId="7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justify" vertical="top" wrapText="1"/>
    </xf>
    <xf numFmtId="166" fontId="21" fillId="0" borderId="2" xfId="1" applyNumberFormat="1" applyFont="1" applyBorder="1" applyAlignment="1">
      <alignment vertical="center" wrapText="1"/>
    </xf>
    <xf numFmtId="3" fontId="20" fillId="0" borderId="2" xfId="0" applyNumberFormat="1" applyFont="1" applyBorder="1" applyAlignment="1">
      <alignment vertical="center"/>
    </xf>
    <xf numFmtId="164" fontId="20" fillId="0" borderId="2" xfId="1" applyNumberFormat="1" applyFont="1" applyFill="1" applyBorder="1" applyAlignment="1">
      <alignment vertical="center"/>
    </xf>
    <xf numFmtId="166" fontId="20" fillId="0" borderId="2" xfId="1" applyNumberFormat="1" applyFont="1" applyFill="1" applyBorder="1" applyAlignment="1">
      <alignment vertical="center"/>
    </xf>
    <xf numFmtId="0" fontId="20" fillId="0" borderId="0" xfId="0" applyFont="1" applyAlignment="1">
      <alignment vertical="top"/>
    </xf>
    <xf numFmtId="0" fontId="21" fillId="0" borderId="0" xfId="0" applyFont="1" applyAlignment="1">
      <alignment horizontal="center" vertical="top"/>
    </xf>
    <xf numFmtId="166" fontId="23" fillId="2" borderId="2" xfId="1" applyNumberFormat="1" applyFont="1" applyFill="1" applyBorder="1" applyAlignment="1">
      <alignment vertical="center"/>
    </xf>
    <xf numFmtId="0" fontId="21" fillId="0" borderId="0" xfId="0" applyFont="1" applyAlignment="1">
      <alignment vertical="top"/>
    </xf>
    <xf numFmtId="0" fontId="21" fillId="0" borderId="4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vertical="top" wrapText="1"/>
    </xf>
    <xf numFmtId="0" fontId="21" fillId="0" borderId="2" xfId="0" applyFont="1" applyBorder="1" applyAlignment="1">
      <alignment horizontal="left" vertical="top" wrapText="1"/>
    </xf>
    <xf numFmtId="0" fontId="24" fillId="0" borderId="0" xfId="2" applyFont="1" applyAlignment="1">
      <alignment vertical="top"/>
    </xf>
    <xf numFmtId="3" fontId="18" fillId="0" borderId="2" xfId="1" applyNumberFormat="1" applyFont="1" applyFill="1" applyBorder="1" applyAlignment="1">
      <alignment vertical="center"/>
    </xf>
    <xf numFmtId="164" fontId="18" fillId="0" borderId="2" xfId="1" applyNumberFormat="1" applyFont="1" applyFill="1" applyBorder="1" applyAlignment="1">
      <alignment vertical="center"/>
    </xf>
    <xf numFmtId="3" fontId="18" fillId="0" borderId="2" xfId="0" applyNumberFormat="1" applyFont="1" applyBorder="1" applyAlignment="1">
      <alignment vertical="center"/>
    </xf>
    <xf numFmtId="164" fontId="18" fillId="0" borderId="2" xfId="0" applyNumberFormat="1" applyFont="1" applyBorder="1" applyAlignment="1">
      <alignment vertical="center"/>
    </xf>
    <xf numFmtId="3" fontId="2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center" vertical="top"/>
    </xf>
    <xf numFmtId="3" fontId="4" fillId="0" borderId="0" xfId="0" applyNumberFormat="1" applyFont="1" applyAlignment="1">
      <alignment vertical="top"/>
    </xf>
    <xf numFmtId="3" fontId="20" fillId="0" borderId="0" xfId="0" applyNumberFormat="1" applyFont="1" applyAlignment="1">
      <alignment vertical="top"/>
    </xf>
    <xf numFmtId="3" fontId="19" fillId="2" borderId="0" xfId="0" applyNumberFormat="1" applyFont="1" applyFill="1" applyAlignment="1">
      <alignment horizontal="center" vertical="top"/>
    </xf>
    <xf numFmtId="3" fontId="9" fillId="0" borderId="0" xfId="0" applyNumberFormat="1" applyFont="1" applyAlignment="1">
      <alignment vertical="top"/>
    </xf>
    <xf numFmtId="3" fontId="11" fillId="0" borderId="0" xfId="0" applyNumberFormat="1" applyFont="1" applyAlignment="1">
      <alignment vertical="top"/>
    </xf>
    <xf numFmtId="3" fontId="12" fillId="0" borderId="0" xfId="0" applyNumberFormat="1" applyFont="1" applyAlignment="1">
      <alignment vertical="top"/>
    </xf>
    <xf numFmtId="3" fontId="7" fillId="0" borderId="2" xfId="1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top" wrapText="1"/>
    </xf>
    <xf numFmtId="3" fontId="8" fillId="0" borderId="2" xfId="1" applyNumberFormat="1" applyFont="1" applyFill="1" applyBorder="1" applyAlignment="1">
      <alignment horizontal="center" vertical="center"/>
    </xf>
    <xf numFmtId="3" fontId="6" fillId="0" borderId="0" xfId="0" applyNumberFormat="1" applyFont="1" applyAlignment="1">
      <alignment vertical="top"/>
    </xf>
    <xf numFmtId="4" fontId="21" fillId="0" borderId="5" xfId="0" applyNumberFormat="1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3" fontId="21" fillId="0" borderId="0" xfId="0" applyNumberFormat="1" applyFont="1" applyAlignment="1">
      <alignment horizontal="center" vertical="top"/>
    </xf>
    <xf numFmtId="164" fontId="2" fillId="0" borderId="2" xfId="1" applyNumberFormat="1" applyFont="1" applyFill="1" applyBorder="1" applyAlignment="1">
      <alignment horizontal="center" vertical="center"/>
    </xf>
    <xf numFmtId="168" fontId="7" fillId="0" borderId="2" xfId="1" applyNumberFormat="1" applyFont="1" applyFill="1" applyBorder="1" applyAlignment="1">
      <alignment horizontal="center" vertical="center"/>
    </xf>
    <xf numFmtId="169" fontId="7" fillId="0" borderId="0" xfId="1" applyNumberFormat="1" applyFont="1" applyFill="1" applyBorder="1" applyAlignment="1">
      <alignment horizontal="center" vertical="center"/>
    </xf>
    <xf numFmtId="0" fontId="20" fillId="0" borderId="2" xfId="0" applyFont="1" applyBorder="1" applyAlignment="1">
      <alignment horizontal="justify" vertical="top" wrapText="1"/>
    </xf>
    <xf numFmtId="3" fontId="6" fillId="0" borderId="2" xfId="1" applyNumberFormat="1" applyFont="1" applyFill="1" applyBorder="1" applyAlignment="1">
      <alignment horizontal="center" vertical="center"/>
    </xf>
    <xf numFmtId="164" fontId="7" fillId="3" borderId="2" xfId="1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164" fontId="11" fillId="0" borderId="0" xfId="0" applyNumberFormat="1" applyFont="1" applyAlignment="1">
      <alignment vertical="top"/>
    </xf>
    <xf numFmtId="166" fontId="21" fillId="0" borderId="0" xfId="1" applyNumberFormat="1" applyFont="1" applyAlignment="1">
      <alignment vertical="top"/>
    </xf>
    <xf numFmtId="3" fontId="8" fillId="0" borderId="0" xfId="0" applyNumberFormat="1" applyFont="1" applyAlignment="1">
      <alignment horizontal="center" vertical="top"/>
    </xf>
    <xf numFmtId="0" fontId="26" fillId="0" borderId="8" xfId="0" applyFont="1" applyBorder="1" applyAlignment="1">
      <alignment horizontal="left" vertical="center" wrapText="1"/>
    </xf>
    <xf numFmtId="170" fontId="21" fillId="0" borderId="2" xfId="1" applyNumberFormat="1" applyFont="1" applyBorder="1" applyAlignment="1">
      <alignment vertical="center" wrapText="1"/>
    </xf>
    <xf numFmtId="170" fontId="8" fillId="0" borderId="2" xfId="1" applyNumberFormat="1" applyFont="1" applyFill="1" applyBorder="1" applyAlignment="1">
      <alignment horizontal="right" vertical="top"/>
    </xf>
    <xf numFmtId="171" fontId="8" fillId="0" borderId="2" xfId="1" applyNumberFormat="1" applyFont="1" applyFill="1" applyBorder="1" applyAlignment="1">
      <alignment horizontal="right" vertical="top"/>
    </xf>
    <xf numFmtId="169" fontId="7" fillId="0" borderId="0" xfId="0" applyNumberFormat="1" applyFont="1" applyAlignment="1">
      <alignment vertical="top"/>
    </xf>
    <xf numFmtId="3" fontId="2" fillId="0" borderId="2" xfId="0" applyNumberFormat="1" applyFont="1" applyBorder="1" applyAlignment="1">
      <alignment vertical="center"/>
    </xf>
    <xf numFmtId="164" fontId="2" fillId="0" borderId="2" xfId="1" applyNumberFormat="1" applyFont="1" applyFill="1" applyBorder="1" applyAlignment="1">
      <alignment vertical="center"/>
    </xf>
    <xf numFmtId="3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vertical="top"/>
    </xf>
    <xf numFmtId="0" fontId="8" fillId="2" borderId="2" xfId="0" applyFont="1" applyFill="1" applyBorder="1" applyAlignment="1">
      <alignment vertical="top"/>
    </xf>
    <xf numFmtId="166" fontId="21" fillId="2" borderId="2" xfId="1" applyNumberFormat="1" applyFont="1" applyFill="1" applyBorder="1" applyAlignment="1">
      <alignment vertical="center"/>
    </xf>
    <xf numFmtId="164" fontId="8" fillId="0" borderId="2" xfId="0" applyNumberFormat="1" applyFont="1" applyBorder="1" applyAlignment="1">
      <alignment vertical="center"/>
    </xf>
    <xf numFmtId="3" fontId="7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18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6" fillId="0" borderId="0" xfId="0" applyFont="1" applyAlignment="1">
      <alignment horizontal="right"/>
    </xf>
  </cellXfs>
  <cellStyles count="3">
    <cellStyle name="Обычный" xfId="0" builtinId="0"/>
    <cellStyle name="Обычный 4" xfId="2" xr:uid="{67162C22-BA8B-44D0-9543-14BE6B175EA1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9728A-8F18-42FB-BA7E-2D6F6840CA21}">
  <sheetPr>
    <pageSetUpPr fitToPage="1"/>
  </sheetPr>
  <dimension ref="A1:U102"/>
  <sheetViews>
    <sheetView tabSelected="1" zoomScale="80" zoomScaleNormal="80" workbookViewId="0">
      <selection activeCell="S1" sqref="S1"/>
    </sheetView>
  </sheetViews>
  <sheetFormatPr defaultColWidth="9.140625" defaultRowHeight="15.75" outlineLevelRow="2" outlineLevelCol="1" x14ac:dyDescent="0.25"/>
  <cols>
    <col min="1" max="1" width="8" style="1" bestFit="1" customWidth="1"/>
    <col min="2" max="2" width="11.140625" style="1" hidden="1" customWidth="1" outlineLevel="1"/>
    <col min="3" max="3" width="43.85546875" style="1" customWidth="1" collapsed="1"/>
    <col min="4" max="4" width="16.28515625" style="81" hidden="1" customWidth="1" outlineLevel="1"/>
    <col min="5" max="5" width="14.28515625" style="2" customWidth="1" collapsed="1"/>
    <col min="6" max="6" width="18.42578125" style="3" customWidth="1"/>
    <col min="7" max="7" width="13.5703125" style="2" customWidth="1"/>
    <col min="8" max="8" width="16.85546875" style="3" customWidth="1"/>
    <col min="9" max="9" width="13.5703125" style="2" customWidth="1"/>
    <col min="10" max="10" width="14.7109375" style="3" customWidth="1"/>
    <col min="11" max="11" width="13.85546875" style="2" customWidth="1"/>
    <col min="12" max="12" width="15" style="3" customWidth="1"/>
    <col min="13" max="13" width="14" style="2" customWidth="1"/>
    <col min="14" max="14" width="16.85546875" style="3" customWidth="1"/>
    <col min="15" max="15" width="13.5703125" style="2" customWidth="1"/>
    <col min="16" max="16" width="17.42578125" style="3" customWidth="1"/>
    <col min="17" max="17" width="13.140625" style="2" customWidth="1"/>
    <col min="18" max="18" width="15" style="3" customWidth="1"/>
    <col min="19" max="19" width="15.5703125" style="3" customWidth="1"/>
    <col min="20" max="20" width="16.85546875" style="93" customWidth="1"/>
    <col min="21" max="26" width="10.5703125" style="2" bestFit="1" customWidth="1"/>
    <col min="27" max="16384" width="9.140625" style="2"/>
  </cols>
  <sheetData>
    <row r="1" spans="1:21" x14ac:dyDescent="0.25">
      <c r="S1" s="150" t="s">
        <v>118</v>
      </c>
    </row>
    <row r="2" spans="1:21" x14ac:dyDescent="0.25">
      <c r="S2" s="150" t="s">
        <v>116</v>
      </c>
    </row>
    <row r="3" spans="1:21" x14ac:dyDescent="0.25">
      <c r="S3" s="150" t="s">
        <v>117</v>
      </c>
    </row>
    <row r="4" spans="1:21" ht="39.75" customHeight="1" outlineLevel="1" x14ac:dyDescent="0.3">
      <c r="A4" s="135" t="s">
        <v>107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</row>
    <row r="5" spans="1:21" s="1" customFormat="1" ht="60" customHeight="1" outlineLevel="1" x14ac:dyDescent="0.25">
      <c r="A5" s="136" t="s">
        <v>0</v>
      </c>
      <c r="B5" s="137" t="s">
        <v>1</v>
      </c>
      <c r="C5" s="136" t="s">
        <v>2</v>
      </c>
      <c r="D5" s="140" t="s">
        <v>108</v>
      </c>
      <c r="E5" s="143" t="s">
        <v>3</v>
      </c>
      <c r="F5" s="144"/>
      <c r="G5" s="145" t="s">
        <v>4</v>
      </c>
      <c r="H5" s="146"/>
      <c r="I5" s="145" t="s">
        <v>5</v>
      </c>
      <c r="J5" s="146"/>
      <c r="K5" s="145" t="s">
        <v>6</v>
      </c>
      <c r="L5" s="146"/>
      <c r="M5" s="145" t="s">
        <v>7</v>
      </c>
      <c r="N5" s="146"/>
      <c r="O5" s="145" t="s">
        <v>8</v>
      </c>
      <c r="P5" s="146"/>
      <c r="Q5" s="145" t="s">
        <v>9</v>
      </c>
      <c r="R5" s="146"/>
      <c r="S5" s="147" t="s">
        <v>10</v>
      </c>
      <c r="T5" s="95"/>
    </row>
    <row r="6" spans="1:21" s="81" customFormat="1" ht="18" hidden="1" customHeight="1" outlineLevel="2" x14ac:dyDescent="0.25">
      <c r="A6" s="136"/>
      <c r="B6" s="138"/>
      <c r="C6" s="136"/>
      <c r="D6" s="141"/>
      <c r="E6" s="84">
        <v>5.0465000000000003E-2</v>
      </c>
      <c r="F6" s="106">
        <v>2923.7</v>
      </c>
      <c r="G6" s="107">
        <v>1.8179000000000001E-2</v>
      </c>
      <c r="H6" s="106">
        <v>3992.2</v>
      </c>
      <c r="I6" s="107">
        <v>9.4890000000000002E-2</v>
      </c>
      <c r="J6" s="106">
        <v>590.4</v>
      </c>
      <c r="K6" s="107">
        <v>3.0918000000000001E-2</v>
      </c>
      <c r="L6" s="106">
        <v>1082.5999999999999</v>
      </c>
      <c r="M6" s="107">
        <v>1.1199999999999999E-3</v>
      </c>
      <c r="N6" s="106">
        <v>9091.4</v>
      </c>
      <c r="O6" s="107">
        <v>1.5192000000000001E-2</v>
      </c>
      <c r="P6" s="106">
        <v>2242.1</v>
      </c>
      <c r="Q6" s="107">
        <v>0.102779</v>
      </c>
      <c r="R6" s="106">
        <v>434</v>
      </c>
      <c r="S6" s="147"/>
      <c r="T6" s="108"/>
    </row>
    <row r="7" spans="1:21" s="1" customFormat="1" ht="72.75" customHeight="1" outlineLevel="1" collapsed="1" x14ac:dyDescent="0.25">
      <c r="A7" s="136"/>
      <c r="B7" s="139"/>
      <c r="C7" s="136"/>
      <c r="D7" s="142"/>
      <c r="E7" s="5" t="s">
        <v>11</v>
      </c>
      <c r="F7" s="6" t="s">
        <v>12</v>
      </c>
      <c r="G7" s="5" t="s">
        <v>11</v>
      </c>
      <c r="H7" s="6" t="s">
        <v>12</v>
      </c>
      <c r="I7" s="5" t="s">
        <v>11</v>
      </c>
      <c r="J7" s="6" t="s">
        <v>12</v>
      </c>
      <c r="K7" s="5" t="s">
        <v>11</v>
      </c>
      <c r="L7" s="6" t="s">
        <v>12</v>
      </c>
      <c r="M7" s="5" t="s">
        <v>11</v>
      </c>
      <c r="N7" s="6" t="s">
        <v>12</v>
      </c>
      <c r="O7" s="5" t="s">
        <v>11</v>
      </c>
      <c r="P7" s="6" t="s">
        <v>12</v>
      </c>
      <c r="Q7" s="5" t="s">
        <v>11</v>
      </c>
      <c r="R7" s="6" t="s">
        <v>12</v>
      </c>
      <c r="S7" s="147"/>
      <c r="T7" s="95"/>
    </row>
    <row r="8" spans="1:21" ht="32.25" customHeight="1" outlineLevel="1" x14ac:dyDescent="0.25">
      <c r="A8" s="7">
        <v>1</v>
      </c>
      <c r="B8" s="8">
        <v>390440</v>
      </c>
      <c r="C8" s="9" t="s">
        <v>13</v>
      </c>
      <c r="D8" s="76">
        <f>98544-534</f>
        <v>98010</v>
      </c>
      <c r="E8" s="54">
        <f>ROUND(D8*$E$6,0)</f>
        <v>4946</v>
      </c>
      <c r="F8" s="55">
        <f>ROUND(E8*$F$6/1000,5)</f>
        <v>14460.620199999999</v>
      </c>
      <c r="G8" s="54">
        <f>ROUND(D8*$G$6,0)</f>
        <v>1782</v>
      </c>
      <c r="H8" s="55">
        <f>ROUND(G8*$H$6/1000,5)</f>
        <v>7114.1004000000003</v>
      </c>
      <c r="I8" s="54">
        <f>ROUND(D8*$I$6,0)</f>
        <v>9300</v>
      </c>
      <c r="J8" s="55">
        <f>ROUND(I8*$J$6/1000,5)</f>
        <v>5490.72</v>
      </c>
      <c r="K8" s="54">
        <f>ROUND(D8*$K$6,0)</f>
        <v>3030</v>
      </c>
      <c r="L8" s="55">
        <f>ROUND(K8*$L$6/1000,5)</f>
        <v>3280.2779999999998</v>
      </c>
      <c r="M8" s="54">
        <f>ROUND(D8*$M$6,0)</f>
        <v>110</v>
      </c>
      <c r="N8" s="55">
        <f>ROUND(M8*$N$6/1000,5)</f>
        <v>1000.054</v>
      </c>
      <c r="O8" s="54">
        <f>ROUND(D8*$O$6,0)</f>
        <v>1489</v>
      </c>
      <c r="P8" s="55">
        <f>ROUND(O8*$P$6/1000,5)</f>
        <v>3338.4868999999999</v>
      </c>
      <c r="Q8" s="56">
        <f>ROUND(D8*$Q$6,0)</f>
        <v>10073</v>
      </c>
      <c r="R8" s="55">
        <f>ROUND(Q8*$R$6/1000,5)</f>
        <v>4371.6819999999998</v>
      </c>
      <c r="S8" s="55">
        <f>F8+H8+J8+L8+N8+P8+R8</f>
        <v>39055.941500000001</v>
      </c>
      <c r="U8" s="11"/>
    </row>
    <row r="9" spans="1:21" outlineLevel="1" x14ac:dyDescent="0.25">
      <c r="A9" s="7">
        <f>A8+1</f>
        <v>2</v>
      </c>
      <c r="B9" s="8">
        <v>390100</v>
      </c>
      <c r="C9" s="12" t="s">
        <v>14</v>
      </c>
      <c r="D9" s="76">
        <f>78565-416</f>
        <v>78149</v>
      </c>
      <c r="E9" s="54">
        <f t="shared" ref="E9:E35" si="0">ROUND(D9*$E$6,0)</f>
        <v>3944</v>
      </c>
      <c r="F9" s="55">
        <f t="shared" ref="F9:F35" si="1">ROUND(E9*$F$6/1000,5)</f>
        <v>11531.0728</v>
      </c>
      <c r="G9" s="54">
        <f t="shared" ref="G9:G35" si="2">ROUND(D9*$G$6,0)</f>
        <v>1421</v>
      </c>
      <c r="H9" s="55">
        <f t="shared" ref="H9:H35" si="3">ROUND(G9*$H$6/1000,5)</f>
        <v>5672.9161999999997</v>
      </c>
      <c r="I9" s="54">
        <f t="shared" ref="I9:I35" si="4">ROUND(D9*$I$6,0)</f>
        <v>7416</v>
      </c>
      <c r="J9" s="55">
        <f t="shared" ref="J9:J35" si="5">ROUND(I9*$J$6/1000,5)</f>
        <v>4378.4063999999998</v>
      </c>
      <c r="K9" s="54">
        <f t="shared" ref="K9:K35" si="6">ROUND(D9*$K$6,0)</f>
        <v>2416</v>
      </c>
      <c r="L9" s="55">
        <f t="shared" ref="L9:L35" si="7">ROUND(K9*$L$6/1000,5)</f>
        <v>2615.5616</v>
      </c>
      <c r="M9" s="54">
        <f t="shared" ref="M9:M35" si="8">ROUND(D9*$M$6,0)</f>
        <v>88</v>
      </c>
      <c r="N9" s="55">
        <f t="shared" ref="N9:N35" si="9">ROUND(M9*$N$6/1000,5)</f>
        <v>800.04319999999996</v>
      </c>
      <c r="O9" s="54">
        <f t="shared" ref="O9:O35" si="10">ROUND(D9*$O$6,0)</f>
        <v>1187</v>
      </c>
      <c r="P9" s="55">
        <f t="shared" ref="P9:P35" si="11">ROUND(O9*$P$6/1000,5)</f>
        <v>2661.3726999999999</v>
      </c>
      <c r="Q9" s="56">
        <f t="shared" ref="Q9:Q35" si="12">ROUND(D9*$Q$6,0)</f>
        <v>8032</v>
      </c>
      <c r="R9" s="55">
        <f t="shared" ref="R9:R35" si="13">ROUND(Q9*$R$6/1000,5)</f>
        <v>3485.8879999999999</v>
      </c>
      <c r="S9" s="55">
        <f t="shared" ref="S9:S37" si="14">F9+H9+J9+L9+N9+P9+R9</f>
        <v>31145.260900000001</v>
      </c>
    </row>
    <row r="10" spans="1:21" outlineLevel="1" x14ac:dyDescent="0.25">
      <c r="A10" s="7">
        <f t="shared" ref="A10:A34" si="15">A9+1</f>
        <v>3</v>
      </c>
      <c r="B10" s="8">
        <v>390090</v>
      </c>
      <c r="C10" s="12" t="s">
        <v>15</v>
      </c>
      <c r="D10" s="76">
        <f>77063-904</f>
        <v>76159</v>
      </c>
      <c r="E10" s="54">
        <f t="shared" si="0"/>
        <v>3843</v>
      </c>
      <c r="F10" s="55">
        <f t="shared" si="1"/>
        <v>11235.7791</v>
      </c>
      <c r="G10" s="54">
        <f t="shared" si="2"/>
        <v>1384</v>
      </c>
      <c r="H10" s="55">
        <f t="shared" si="3"/>
        <v>5525.2048000000004</v>
      </c>
      <c r="I10" s="54">
        <f t="shared" si="4"/>
        <v>7227</v>
      </c>
      <c r="J10" s="55">
        <f t="shared" si="5"/>
        <v>4266.8208000000004</v>
      </c>
      <c r="K10" s="54">
        <f t="shared" si="6"/>
        <v>2355</v>
      </c>
      <c r="L10" s="55">
        <f t="shared" si="7"/>
        <v>2549.5230000000001</v>
      </c>
      <c r="M10" s="54">
        <f t="shared" si="8"/>
        <v>85</v>
      </c>
      <c r="N10" s="55">
        <f t="shared" si="9"/>
        <v>772.76900000000001</v>
      </c>
      <c r="O10" s="54">
        <f t="shared" si="10"/>
        <v>1157</v>
      </c>
      <c r="P10" s="55">
        <f t="shared" si="11"/>
        <v>2594.1097</v>
      </c>
      <c r="Q10" s="56">
        <f t="shared" si="12"/>
        <v>7828</v>
      </c>
      <c r="R10" s="55">
        <f t="shared" si="13"/>
        <v>3397.3519999999999</v>
      </c>
      <c r="S10" s="55">
        <f t="shared" si="14"/>
        <v>30341.558400000002</v>
      </c>
    </row>
    <row r="11" spans="1:21" outlineLevel="1" x14ac:dyDescent="0.25">
      <c r="A11" s="7">
        <f t="shared" si="15"/>
        <v>4</v>
      </c>
      <c r="B11" s="8">
        <v>390400</v>
      </c>
      <c r="C11" s="12" t="s">
        <v>16</v>
      </c>
      <c r="D11" s="76">
        <f>168991-1733</f>
        <v>167258</v>
      </c>
      <c r="E11" s="54">
        <f t="shared" si="0"/>
        <v>8441</v>
      </c>
      <c r="F11" s="55">
        <f t="shared" si="1"/>
        <v>24678.951700000001</v>
      </c>
      <c r="G11" s="54">
        <f t="shared" si="2"/>
        <v>3041</v>
      </c>
      <c r="H11" s="55">
        <f t="shared" si="3"/>
        <v>12140.280199999999</v>
      </c>
      <c r="I11" s="54">
        <f t="shared" si="4"/>
        <v>15871</v>
      </c>
      <c r="J11" s="55">
        <f t="shared" si="5"/>
        <v>9370.2384000000002</v>
      </c>
      <c r="K11" s="54">
        <f t="shared" si="6"/>
        <v>5171</v>
      </c>
      <c r="L11" s="55">
        <f t="shared" si="7"/>
        <v>5598.1246000000001</v>
      </c>
      <c r="M11" s="54">
        <f t="shared" si="8"/>
        <v>187</v>
      </c>
      <c r="N11" s="55">
        <f t="shared" si="9"/>
        <v>1700.0917999999999</v>
      </c>
      <c r="O11" s="124">
        <f>ROUND(D11*$O$6,0)-1</f>
        <v>2540</v>
      </c>
      <c r="P11" s="125">
        <f>ROUND(O11*$P$6/1000,5)</f>
        <v>5694.9340000000002</v>
      </c>
      <c r="Q11" s="56">
        <f t="shared" si="12"/>
        <v>17191</v>
      </c>
      <c r="R11" s="55">
        <f t="shared" si="13"/>
        <v>7460.8940000000002</v>
      </c>
      <c r="S11" s="55">
        <f t="shared" si="14"/>
        <v>66643.5147</v>
      </c>
    </row>
    <row r="12" spans="1:21" outlineLevel="1" x14ac:dyDescent="0.25">
      <c r="A12" s="7">
        <f t="shared" si="15"/>
        <v>5</v>
      </c>
      <c r="B12" s="8">
        <v>390110</v>
      </c>
      <c r="C12" s="12" t="s">
        <v>17</v>
      </c>
      <c r="D12" s="76">
        <f>12270-36</f>
        <v>12234</v>
      </c>
      <c r="E12" s="54">
        <f t="shared" si="0"/>
        <v>617</v>
      </c>
      <c r="F12" s="55">
        <f t="shared" si="1"/>
        <v>1803.9229</v>
      </c>
      <c r="G12" s="54">
        <f t="shared" si="2"/>
        <v>222</v>
      </c>
      <c r="H12" s="55">
        <f t="shared" si="3"/>
        <v>886.26840000000004</v>
      </c>
      <c r="I12" s="54">
        <f t="shared" si="4"/>
        <v>1161</v>
      </c>
      <c r="J12" s="55">
        <f t="shared" si="5"/>
        <v>685.45439999999996</v>
      </c>
      <c r="K12" s="54">
        <f t="shared" si="6"/>
        <v>378</v>
      </c>
      <c r="L12" s="55">
        <f t="shared" si="7"/>
        <v>409.22280000000001</v>
      </c>
      <c r="M12" s="54">
        <f t="shared" si="8"/>
        <v>14</v>
      </c>
      <c r="N12" s="55">
        <f t="shared" si="9"/>
        <v>127.2796</v>
      </c>
      <c r="O12" s="54">
        <f t="shared" si="10"/>
        <v>186</v>
      </c>
      <c r="P12" s="55">
        <f t="shared" si="11"/>
        <v>417.03059999999999</v>
      </c>
      <c r="Q12" s="56">
        <f t="shared" si="12"/>
        <v>1257</v>
      </c>
      <c r="R12" s="55">
        <f t="shared" si="13"/>
        <v>545.53800000000001</v>
      </c>
      <c r="S12" s="55">
        <f t="shared" si="14"/>
        <v>4874.716699999999</v>
      </c>
    </row>
    <row r="13" spans="1:21" ht="31.5" customHeight="1" outlineLevel="1" x14ac:dyDescent="0.25">
      <c r="A13" s="7">
        <f t="shared" si="15"/>
        <v>6</v>
      </c>
      <c r="B13" s="8">
        <v>390890</v>
      </c>
      <c r="C13" s="9" t="s">
        <v>47</v>
      </c>
      <c r="D13" s="76">
        <f>118435-886</f>
        <v>117549</v>
      </c>
      <c r="E13" s="54">
        <f t="shared" si="0"/>
        <v>5932</v>
      </c>
      <c r="F13" s="55">
        <f t="shared" si="1"/>
        <v>17343.3884</v>
      </c>
      <c r="G13" s="54">
        <f t="shared" si="2"/>
        <v>2137</v>
      </c>
      <c r="H13" s="55">
        <f t="shared" si="3"/>
        <v>8531.3313999999991</v>
      </c>
      <c r="I13" s="54">
        <f t="shared" si="4"/>
        <v>11154</v>
      </c>
      <c r="J13" s="55">
        <f t="shared" si="5"/>
        <v>6585.3216000000002</v>
      </c>
      <c r="K13" s="54">
        <f t="shared" si="6"/>
        <v>3634</v>
      </c>
      <c r="L13" s="55">
        <f t="shared" si="7"/>
        <v>3934.1684</v>
      </c>
      <c r="M13" s="54">
        <f t="shared" si="8"/>
        <v>132</v>
      </c>
      <c r="N13" s="55">
        <f t="shared" si="9"/>
        <v>1200.0648000000001</v>
      </c>
      <c r="O13" s="54">
        <f t="shared" si="10"/>
        <v>1786</v>
      </c>
      <c r="P13" s="55">
        <f t="shared" si="11"/>
        <v>4004.3906000000002</v>
      </c>
      <c r="Q13" s="56">
        <f t="shared" si="12"/>
        <v>12082</v>
      </c>
      <c r="R13" s="55">
        <f t="shared" si="13"/>
        <v>5243.5879999999997</v>
      </c>
      <c r="S13" s="55">
        <f t="shared" si="14"/>
        <v>46842.253199999992</v>
      </c>
    </row>
    <row r="14" spans="1:21" outlineLevel="1" x14ac:dyDescent="0.25">
      <c r="A14" s="7">
        <f t="shared" si="15"/>
        <v>7</v>
      </c>
      <c r="B14" s="8">
        <v>390200</v>
      </c>
      <c r="C14" s="12" t="s">
        <v>19</v>
      </c>
      <c r="D14" s="76">
        <f>24151-113</f>
        <v>24038</v>
      </c>
      <c r="E14" s="54">
        <f t="shared" si="0"/>
        <v>1213</v>
      </c>
      <c r="F14" s="55">
        <f t="shared" si="1"/>
        <v>3546.4481000000001</v>
      </c>
      <c r="G14" s="54">
        <f t="shared" si="2"/>
        <v>437</v>
      </c>
      <c r="H14" s="55">
        <f t="shared" si="3"/>
        <v>1744.5914</v>
      </c>
      <c r="I14" s="54">
        <f t="shared" si="4"/>
        <v>2281</v>
      </c>
      <c r="J14" s="55">
        <f t="shared" si="5"/>
        <v>1346.7023999999999</v>
      </c>
      <c r="K14" s="54">
        <f t="shared" si="6"/>
        <v>743</v>
      </c>
      <c r="L14" s="55">
        <f t="shared" si="7"/>
        <v>804.37180000000001</v>
      </c>
      <c r="M14" s="54">
        <f t="shared" si="8"/>
        <v>27</v>
      </c>
      <c r="N14" s="55">
        <f t="shared" si="9"/>
        <v>245.46780000000001</v>
      </c>
      <c r="O14" s="54">
        <f t="shared" si="10"/>
        <v>365</v>
      </c>
      <c r="P14" s="55">
        <f t="shared" si="11"/>
        <v>818.36649999999997</v>
      </c>
      <c r="Q14" s="56">
        <f t="shared" si="12"/>
        <v>2471</v>
      </c>
      <c r="R14" s="55">
        <f t="shared" si="13"/>
        <v>1072.414</v>
      </c>
      <c r="S14" s="55">
        <f t="shared" si="14"/>
        <v>9578.362000000001</v>
      </c>
    </row>
    <row r="15" spans="1:21" outlineLevel="1" x14ac:dyDescent="0.25">
      <c r="A15" s="7">
        <f t="shared" si="15"/>
        <v>8</v>
      </c>
      <c r="B15" s="8">
        <v>390160</v>
      </c>
      <c r="C15" s="12" t="s">
        <v>20</v>
      </c>
      <c r="D15" s="76">
        <f>26360-93</f>
        <v>26267</v>
      </c>
      <c r="E15" s="54">
        <f t="shared" si="0"/>
        <v>1326</v>
      </c>
      <c r="F15" s="55">
        <f t="shared" si="1"/>
        <v>3876.8262</v>
      </c>
      <c r="G15" s="54">
        <f t="shared" si="2"/>
        <v>478</v>
      </c>
      <c r="H15" s="55">
        <f t="shared" si="3"/>
        <v>1908.2716</v>
      </c>
      <c r="I15" s="54">
        <f t="shared" si="4"/>
        <v>2492</v>
      </c>
      <c r="J15" s="55">
        <f t="shared" si="5"/>
        <v>1471.2768000000001</v>
      </c>
      <c r="K15" s="54">
        <f t="shared" si="6"/>
        <v>812</v>
      </c>
      <c r="L15" s="55">
        <f t="shared" si="7"/>
        <v>879.07119999999998</v>
      </c>
      <c r="M15" s="54">
        <f t="shared" si="8"/>
        <v>29</v>
      </c>
      <c r="N15" s="55">
        <f t="shared" si="9"/>
        <v>263.6506</v>
      </c>
      <c r="O15" s="54">
        <f t="shared" si="10"/>
        <v>399</v>
      </c>
      <c r="P15" s="55">
        <f t="shared" si="11"/>
        <v>894.59789999999998</v>
      </c>
      <c r="Q15" s="56">
        <f t="shared" si="12"/>
        <v>2700</v>
      </c>
      <c r="R15" s="55">
        <f t="shared" si="13"/>
        <v>1171.8</v>
      </c>
      <c r="S15" s="55">
        <f t="shared" si="14"/>
        <v>10465.4943</v>
      </c>
    </row>
    <row r="16" spans="1:21" outlineLevel="1" x14ac:dyDescent="0.25">
      <c r="A16" s="7">
        <f t="shared" si="15"/>
        <v>9</v>
      </c>
      <c r="B16" s="8">
        <v>390210</v>
      </c>
      <c r="C16" s="12" t="s">
        <v>21</v>
      </c>
      <c r="D16" s="76">
        <f>25601-89</f>
        <v>25512</v>
      </c>
      <c r="E16" s="54">
        <f t="shared" si="0"/>
        <v>1287</v>
      </c>
      <c r="F16" s="55">
        <f t="shared" si="1"/>
        <v>3762.8018999999999</v>
      </c>
      <c r="G16" s="54">
        <f t="shared" si="2"/>
        <v>464</v>
      </c>
      <c r="H16" s="55">
        <f t="shared" si="3"/>
        <v>1852.3807999999999</v>
      </c>
      <c r="I16" s="54">
        <f t="shared" si="4"/>
        <v>2421</v>
      </c>
      <c r="J16" s="55">
        <f t="shared" si="5"/>
        <v>1429.3584000000001</v>
      </c>
      <c r="K16" s="54">
        <f t="shared" si="6"/>
        <v>789</v>
      </c>
      <c r="L16" s="55">
        <f t="shared" si="7"/>
        <v>854.17139999999995</v>
      </c>
      <c r="M16" s="54">
        <f t="shared" si="8"/>
        <v>29</v>
      </c>
      <c r="N16" s="55">
        <f t="shared" si="9"/>
        <v>263.6506</v>
      </c>
      <c r="O16" s="54">
        <f t="shared" si="10"/>
        <v>388</v>
      </c>
      <c r="P16" s="55">
        <f t="shared" si="11"/>
        <v>869.9348</v>
      </c>
      <c r="Q16" s="56">
        <f t="shared" si="12"/>
        <v>2622</v>
      </c>
      <c r="R16" s="55">
        <f t="shared" si="13"/>
        <v>1137.9480000000001</v>
      </c>
      <c r="S16" s="55">
        <f t="shared" si="14"/>
        <v>10170.2459</v>
      </c>
    </row>
    <row r="17" spans="1:20" s="14" customFormat="1" outlineLevel="1" x14ac:dyDescent="0.25">
      <c r="A17" s="7">
        <f t="shared" si="15"/>
        <v>10</v>
      </c>
      <c r="B17" s="8">
        <v>390220</v>
      </c>
      <c r="C17" s="12" t="s">
        <v>22</v>
      </c>
      <c r="D17" s="76">
        <f>73574-447</f>
        <v>73127</v>
      </c>
      <c r="E17" s="54">
        <f t="shared" si="0"/>
        <v>3690</v>
      </c>
      <c r="F17" s="55">
        <f t="shared" si="1"/>
        <v>10788.453</v>
      </c>
      <c r="G17" s="54">
        <f t="shared" si="2"/>
        <v>1329</v>
      </c>
      <c r="H17" s="55">
        <f t="shared" si="3"/>
        <v>5305.6337999999996</v>
      </c>
      <c r="I17" s="54">
        <f t="shared" si="4"/>
        <v>6939</v>
      </c>
      <c r="J17" s="55">
        <f t="shared" si="5"/>
        <v>4096.7856000000002</v>
      </c>
      <c r="K17" s="54">
        <f t="shared" si="6"/>
        <v>2261</v>
      </c>
      <c r="L17" s="55">
        <f t="shared" si="7"/>
        <v>2447.7586000000001</v>
      </c>
      <c r="M17" s="54">
        <f t="shared" si="8"/>
        <v>82</v>
      </c>
      <c r="N17" s="55">
        <f t="shared" si="9"/>
        <v>745.49480000000005</v>
      </c>
      <c r="O17" s="54">
        <f t="shared" si="10"/>
        <v>1111</v>
      </c>
      <c r="P17" s="55">
        <f t="shared" si="11"/>
        <v>2490.9731000000002</v>
      </c>
      <c r="Q17" s="56">
        <f t="shared" si="12"/>
        <v>7516</v>
      </c>
      <c r="R17" s="55">
        <f t="shared" si="13"/>
        <v>3261.944</v>
      </c>
      <c r="S17" s="55">
        <f t="shared" si="14"/>
        <v>29137.0429</v>
      </c>
      <c r="T17" s="40"/>
    </row>
    <row r="18" spans="1:20" outlineLevel="1" x14ac:dyDescent="0.25">
      <c r="A18" s="7">
        <f t="shared" si="15"/>
        <v>11</v>
      </c>
      <c r="B18" s="8">
        <v>390230</v>
      </c>
      <c r="C18" s="12" t="s">
        <v>23</v>
      </c>
      <c r="D18" s="76">
        <f>28897-82</f>
        <v>28815</v>
      </c>
      <c r="E18" s="54">
        <f t="shared" si="0"/>
        <v>1454</v>
      </c>
      <c r="F18" s="55">
        <f t="shared" si="1"/>
        <v>4251.0598</v>
      </c>
      <c r="G18" s="54">
        <f t="shared" si="2"/>
        <v>524</v>
      </c>
      <c r="H18" s="55">
        <f t="shared" si="3"/>
        <v>2091.9128000000001</v>
      </c>
      <c r="I18" s="54">
        <f t="shared" si="4"/>
        <v>2734</v>
      </c>
      <c r="J18" s="55">
        <f t="shared" si="5"/>
        <v>1614.1536000000001</v>
      </c>
      <c r="K18" s="54">
        <f t="shared" si="6"/>
        <v>891</v>
      </c>
      <c r="L18" s="55">
        <f t="shared" si="7"/>
        <v>964.59659999999997</v>
      </c>
      <c r="M18" s="54">
        <f t="shared" si="8"/>
        <v>32</v>
      </c>
      <c r="N18" s="55">
        <f t="shared" si="9"/>
        <v>290.9248</v>
      </c>
      <c r="O18" s="54">
        <f t="shared" si="10"/>
        <v>438</v>
      </c>
      <c r="P18" s="55">
        <f t="shared" si="11"/>
        <v>982.03980000000001</v>
      </c>
      <c r="Q18" s="56">
        <f t="shared" si="12"/>
        <v>2962</v>
      </c>
      <c r="R18" s="55">
        <f t="shared" si="13"/>
        <v>1285.508</v>
      </c>
      <c r="S18" s="55">
        <f t="shared" si="14"/>
        <v>11480.195400000002</v>
      </c>
    </row>
    <row r="19" spans="1:20" outlineLevel="1" x14ac:dyDescent="0.25">
      <c r="A19" s="7">
        <f t="shared" si="15"/>
        <v>12</v>
      </c>
      <c r="B19" s="8">
        <v>390240</v>
      </c>
      <c r="C19" s="12" t="s">
        <v>24</v>
      </c>
      <c r="D19" s="76">
        <f>33545-133</f>
        <v>33412</v>
      </c>
      <c r="E19" s="54"/>
      <c r="F19" s="55">
        <f t="shared" si="1"/>
        <v>0</v>
      </c>
      <c r="G19" s="54">
        <f t="shared" si="2"/>
        <v>607</v>
      </c>
      <c r="H19" s="55">
        <f t="shared" si="3"/>
        <v>2423.2654000000002</v>
      </c>
      <c r="I19" s="54">
        <f t="shared" si="4"/>
        <v>3170</v>
      </c>
      <c r="J19" s="55">
        <f t="shared" si="5"/>
        <v>1871.568</v>
      </c>
      <c r="K19" s="54">
        <f t="shared" si="6"/>
        <v>1033</v>
      </c>
      <c r="L19" s="55">
        <f t="shared" si="7"/>
        <v>1118.3258000000001</v>
      </c>
      <c r="M19" s="54">
        <f t="shared" si="8"/>
        <v>37</v>
      </c>
      <c r="N19" s="55">
        <f t="shared" si="9"/>
        <v>336.3818</v>
      </c>
      <c r="O19" s="54">
        <f t="shared" si="10"/>
        <v>508</v>
      </c>
      <c r="P19" s="55">
        <f t="shared" si="11"/>
        <v>1138.9867999999999</v>
      </c>
      <c r="Q19" s="56">
        <f t="shared" si="12"/>
        <v>3434</v>
      </c>
      <c r="R19" s="55">
        <f t="shared" si="13"/>
        <v>1490.356</v>
      </c>
      <c r="S19" s="55">
        <f t="shared" si="14"/>
        <v>8378.8837999999996</v>
      </c>
    </row>
    <row r="20" spans="1:20" outlineLevel="1" x14ac:dyDescent="0.25">
      <c r="A20" s="7">
        <f t="shared" si="15"/>
        <v>13</v>
      </c>
      <c r="B20" s="8">
        <v>390290</v>
      </c>
      <c r="C20" s="12" t="s">
        <v>25</v>
      </c>
      <c r="D20" s="76">
        <f>9274-40</f>
        <v>9234</v>
      </c>
      <c r="E20" s="54">
        <f t="shared" si="0"/>
        <v>466</v>
      </c>
      <c r="F20" s="55">
        <f t="shared" si="1"/>
        <v>1362.4441999999999</v>
      </c>
      <c r="G20" s="54">
        <f t="shared" si="2"/>
        <v>168</v>
      </c>
      <c r="H20" s="55">
        <f t="shared" si="3"/>
        <v>670.68960000000004</v>
      </c>
      <c r="I20" s="54">
        <f t="shared" si="4"/>
        <v>876</v>
      </c>
      <c r="J20" s="55">
        <f t="shared" si="5"/>
        <v>517.19039999999995</v>
      </c>
      <c r="K20" s="54">
        <f t="shared" si="6"/>
        <v>285</v>
      </c>
      <c r="L20" s="55">
        <f t="shared" si="7"/>
        <v>308.541</v>
      </c>
      <c r="M20" s="54">
        <f t="shared" si="8"/>
        <v>10</v>
      </c>
      <c r="N20" s="55">
        <f t="shared" si="9"/>
        <v>90.914000000000001</v>
      </c>
      <c r="O20" s="54">
        <f t="shared" si="10"/>
        <v>140</v>
      </c>
      <c r="P20" s="55">
        <f t="shared" si="11"/>
        <v>313.89400000000001</v>
      </c>
      <c r="Q20" s="56">
        <f t="shared" si="12"/>
        <v>949</v>
      </c>
      <c r="R20" s="55">
        <f t="shared" si="13"/>
        <v>411.86599999999999</v>
      </c>
      <c r="S20" s="55">
        <f t="shared" si="14"/>
        <v>3675.5392000000002</v>
      </c>
    </row>
    <row r="21" spans="1:20" outlineLevel="1" x14ac:dyDescent="0.25">
      <c r="A21" s="7">
        <f t="shared" si="15"/>
        <v>14</v>
      </c>
      <c r="B21" s="15">
        <v>390380</v>
      </c>
      <c r="C21" s="16" t="s">
        <v>26</v>
      </c>
      <c r="D21" s="76">
        <f>6114-17</f>
        <v>6097</v>
      </c>
      <c r="E21" s="54">
        <f t="shared" si="0"/>
        <v>308</v>
      </c>
      <c r="F21" s="55">
        <f t="shared" si="1"/>
        <v>900.49959999999999</v>
      </c>
      <c r="G21" s="54">
        <f t="shared" si="2"/>
        <v>111</v>
      </c>
      <c r="H21" s="55">
        <f t="shared" si="3"/>
        <v>443.13420000000002</v>
      </c>
      <c r="I21" s="54">
        <f t="shared" si="4"/>
        <v>579</v>
      </c>
      <c r="J21" s="55">
        <f t="shared" si="5"/>
        <v>341.84160000000003</v>
      </c>
      <c r="K21" s="54">
        <f t="shared" si="6"/>
        <v>189</v>
      </c>
      <c r="L21" s="55">
        <f t="shared" si="7"/>
        <v>204.6114</v>
      </c>
      <c r="M21" s="54">
        <f t="shared" si="8"/>
        <v>7</v>
      </c>
      <c r="N21" s="55">
        <f t="shared" si="9"/>
        <v>63.639800000000001</v>
      </c>
      <c r="O21" s="54">
        <f t="shared" si="10"/>
        <v>93</v>
      </c>
      <c r="P21" s="55">
        <f t="shared" si="11"/>
        <v>208.5153</v>
      </c>
      <c r="Q21" s="56">
        <f t="shared" si="12"/>
        <v>627</v>
      </c>
      <c r="R21" s="55">
        <f t="shared" si="13"/>
        <v>272.11799999999999</v>
      </c>
      <c r="S21" s="55">
        <f t="shared" si="14"/>
        <v>2434.3598999999999</v>
      </c>
    </row>
    <row r="22" spans="1:20" outlineLevel="1" x14ac:dyDescent="0.25">
      <c r="A22" s="7">
        <f t="shared" si="15"/>
        <v>15</v>
      </c>
      <c r="B22" s="15">
        <v>390370</v>
      </c>
      <c r="C22" s="16" t="s">
        <v>27</v>
      </c>
      <c r="D22" s="76">
        <f>10166-45</f>
        <v>10121</v>
      </c>
      <c r="E22" s="54">
        <f t="shared" si="0"/>
        <v>511</v>
      </c>
      <c r="F22" s="55">
        <f t="shared" si="1"/>
        <v>1494.0107</v>
      </c>
      <c r="G22" s="54">
        <f t="shared" si="2"/>
        <v>184</v>
      </c>
      <c r="H22" s="55">
        <f t="shared" si="3"/>
        <v>734.56479999999999</v>
      </c>
      <c r="I22" s="54">
        <f t="shared" si="4"/>
        <v>960</v>
      </c>
      <c r="J22" s="55">
        <f t="shared" si="5"/>
        <v>566.78399999999999</v>
      </c>
      <c r="K22" s="54">
        <f t="shared" si="6"/>
        <v>313</v>
      </c>
      <c r="L22" s="55">
        <f t="shared" si="7"/>
        <v>338.85379999999998</v>
      </c>
      <c r="M22" s="54">
        <f t="shared" si="8"/>
        <v>11</v>
      </c>
      <c r="N22" s="55">
        <f t="shared" si="9"/>
        <v>100.00539999999999</v>
      </c>
      <c r="O22" s="54">
        <f t="shared" si="10"/>
        <v>154</v>
      </c>
      <c r="P22" s="55">
        <f t="shared" si="11"/>
        <v>345.28339999999997</v>
      </c>
      <c r="Q22" s="56">
        <f t="shared" si="12"/>
        <v>1040</v>
      </c>
      <c r="R22" s="55">
        <f t="shared" si="13"/>
        <v>451.36</v>
      </c>
      <c r="S22" s="55">
        <f t="shared" si="14"/>
        <v>4030.8620999999998</v>
      </c>
    </row>
    <row r="23" spans="1:20" ht="17.25" customHeight="1" outlineLevel="1" x14ac:dyDescent="0.25">
      <c r="A23" s="7">
        <f t="shared" si="15"/>
        <v>16</v>
      </c>
      <c r="B23" s="15">
        <v>390480</v>
      </c>
      <c r="C23" s="17" t="s">
        <v>28</v>
      </c>
      <c r="D23" s="76">
        <f>37133-139</f>
        <v>36994</v>
      </c>
      <c r="E23" s="54">
        <f t="shared" si="0"/>
        <v>1867</v>
      </c>
      <c r="F23" s="55">
        <f t="shared" si="1"/>
        <v>5458.5478999999996</v>
      </c>
      <c r="G23" s="54">
        <f t="shared" si="2"/>
        <v>673</v>
      </c>
      <c r="H23" s="55">
        <f t="shared" si="3"/>
        <v>2686.7505999999998</v>
      </c>
      <c r="I23" s="54">
        <f t="shared" si="4"/>
        <v>3510</v>
      </c>
      <c r="J23" s="55">
        <f t="shared" si="5"/>
        <v>2072.3040000000001</v>
      </c>
      <c r="K23" s="54">
        <f t="shared" si="6"/>
        <v>1144</v>
      </c>
      <c r="L23" s="55">
        <f t="shared" si="7"/>
        <v>1238.4944</v>
      </c>
      <c r="M23" s="54">
        <f t="shared" si="8"/>
        <v>41</v>
      </c>
      <c r="N23" s="55">
        <f t="shared" si="9"/>
        <v>372.74740000000003</v>
      </c>
      <c r="O23" s="54">
        <f t="shared" si="10"/>
        <v>562</v>
      </c>
      <c r="P23" s="55">
        <f t="shared" si="11"/>
        <v>1260.0601999999999</v>
      </c>
      <c r="Q23" s="56">
        <f t="shared" si="12"/>
        <v>3802</v>
      </c>
      <c r="R23" s="55">
        <f t="shared" si="13"/>
        <v>1650.068</v>
      </c>
      <c r="S23" s="55">
        <f t="shared" si="14"/>
        <v>14738.972499999998</v>
      </c>
    </row>
    <row r="24" spans="1:20" outlineLevel="1" x14ac:dyDescent="0.25">
      <c r="A24" s="7">
        <f t="shared" si="15"/>
        <v>17</v>
      </c>
      <c r="B24" s="15">
        <v>390260</v>
      </c>
      <c r="C24" s="16" t="s">
        <v>29</v>
      </c>
      <c r="D24" s="76">
        <f>16014-42</f>
        <v>15972</v>
      </c>
      <c r="E24" s="54">
        <f t="shared" si="0"/>
        <v>806</v>
      </c>
      <c r="F24" s="55">
        <f t="shared" si="1"/>
        <v>2356.5021999999999</v>
      </c>
      <c r="G24" s="54">
        <f t="shared" si="2"/>
        <v>290</v>
      </c>
      <c r="H24" s="55">
        <f t="shared" si="3"/>
        <v>1157.7380000000001</v>
      </c>
      <c r="I24" s="54">
        <f t="shared" si="4"/>
        <v>1516</v>
      </c>
      <c r="J24" s="55">
        <f t="shared" si="5"/>
        <v>895.04639999999995</v>
      </c>
      <c r="K24" s="54">
        <f t="shared" si="6"/>
        <v>494</v>
      </c>
      <c r="L24" s="55">
        <f t="shared" si="7"/>
        <v>534.80439999999999</v>
      </c>
      <c r="M24" s="54">
        <f t="shared" si="8"/>
        <v>18</v>
      </c>
      <c r="N24" s="55">
        <f t="shared" si="9"/>
        <v>163.64519999999999</v>
      </c>
      <c r="O24" s="54">
        <f t="shared" si="10"/>
        <v>243</v>
      </c>
      <c r="P24" s="55">
        <f t="shared" si="11"/>
        <v>544.83029999999997</v>
      </c>
      <c r="Q24" s="56">
        <f t="shared" si="12"/>
        <v>1642</v>
      </c>
      <c r="R24" s="55">
        <f t="shared" si="13"/>
        <v>712.62800000000004</v>
      </c>
      <c r="S24" s="55">
        <f t="shared" si="14"/>
        <v>6365.1944999999996</v>
      </c>
    </row>
    <row r="25" spans="1:20" outlineLevel="1" x14ac:dyDescent="0.25">
      <c r="A25" s="7">
        <f t="shared" si="15"/>
        <v>18</v>
      </c>
      <c r="B25" s="15">
        <v>390250</v>
      </c>
      <c r="C25" s="16" t="s">
        <v>30</v>
      </c>
      <c r="D25" s="76">
        <f>11827-52</f>
        <v>11775</v>
      </c>
      <c r="E25" s="54">
        <f t="shared" si="0"/>
        <v>594</v>
      </c>
      <c r="F25" s="55">
        <f t="shared" si="1"/>
        <v>1736.6777999999999</v>
      </c>
      <c r="G25" s="54">
        <f t="shared" si="2"/>
        <v>214</v>
      </c>
      <c r="H25" s="55">
        <f t="shared" si="3"/>
        <v>854.33079999999995</v>
      </c>
      <c r="I25" s="54">
        <f t="shared" si="4"/>
        <v>1117</v>
      </c>
      <c r="J25" s="55">
        <f t="shared" si="5"/>
        <v>659.47680000000003</v>
      </c>
      <c r="K25" s="54">
        <f t="shared" si="6"/>
        <v>364</v>
      </c>
      <c r="L25" s="55">
        <f t="shared" si="7"/>
        <v>394.06639999999999</v>
      </c>
      <c r="M25" s="54">
        <f t="shared" si="8"/>
        <v>13</v>
      </c>
      <c r="N25" s="55">
        <f t="shared" si="9"/>
        <v>118.18819999999999</v>
      </c>
      <c r="O25" s="54">
        <f t="shared" si="10"/>
        <v>179</v>
      </c>
      <c r="P25" s="55">
        <f t="shared" si="11"/>
        <v>401.33589999999998</v>
      </c>
      <c r="Q25" s="56">
        <f t="shared" si="12"/>
        <v>1210</v>
      </c>
      <c r="R25" s="55">
        <f t="shared" si="13"/>
        <v>525.14</v>
      </c>
      <c r="S25" s="55">
        <f t="shared" si="14"/>
        <v>4689.2159000000001</v>
      </c>
    </row>
    <row r="26" spans="1:20" outlineLevel="1" x14ac:dyDescent="0.25">
      <c r="A26" s="7">
        <f t="shared" si="15"/>
        <v>19</v>
      </c>
      <c r="B26" s="15">
        <v>390300</v>
      </c>
      <c r="C26" s="16" t="s">
        <v>31</v>
      </c>
      <c r="D26" s="76">
        <f>11062-35</f>
        <v>11027</v>
      </c>
      <c r="E26" s="54">
        <f t="shared" si="0"/>
        <v>556</v>
      </c>
      <c r="F26" s="55">
        <f t="shared" si="1"/>
        <v>1625.5771999999999</v>
      </c>
      <c r="G26" s="54">
        <f t="shared" si="2"/>
        <v>200</v>
      </c>
      <c r="H26" s="55">
        <f t="shared" si="3"/>
        <v>798.44</v>
      </c>
      <c r="I26" s="54">
        <f t="shared" si="4"/>
        <v>1046</v>
      </c>
      <c r="J26" s="55">
        <f t="shared" si="5"/>
        <v>617.55840000000001</v>
      </c>
      <c r="K26" s="54">
        <f t="shared" si="6"/>
        <v>341</v>
      </c>
      <c r="L26" s="55">
        <f t="shared" si="7"/>
        <v>369.16660000000002</v>
      </c>
      <c r="M26" s="54">
        <f t="shared" si="8"/>
        <v>12</v>
      </c>
      <c r="N26" s="55">
        <f t="shared" si="9"/>
        <v>109.0968</v>
      </c>
      <c r="O26" s="54">
        <f t="shared" si="10"/>
        <v>168</v>
      </c>
      <c r="P26" s="55">
        <f t="shared" si="11"/>
        <v>376.6728</v>
      </c>
      <c r="Q26" s="56">
        <f t="shared" si="12"/>
        <v>1133</v>
      </c>
      <c r="R26" s="55">
        <f t="shared" si="13"/>
        <v>491.72199999999998</v>
      </c>
      <c r="S26" s="55">
        <f t="shared" si="14"/>
        <v>4388.2338</v>
      </c>
    </row>
    <row r="27" spans="1:20" outlineLevel="1" x14ac:dyDescent="0.25">
      <c r="A27" s="7">
        <f t="shared" si="15"/>
        <v>20</v>
      </c>
      <c r="B27" s="15">
        <v>390310</v>
      </c>
      <c r="C27" s="16" t="s">
        <v>32</v>
      </c>
      <c r="D27" s="76">
        <f>16249-38</f>
        <v>16211</v>
      </c>
      <c r="E27" s="54">
        <f t="shared" si="0"/>
        <v>818</v>
      </c>
      <c r="F27" s="55">
        <f t="shared" si="1"/>
        <v>2391.5866000000001</v>
      </c>
      <c r="G27" s="54">
        <f t="shared" si="2"/>
        <v>295</v>
      </c>
      <c r="H27" s="55">
        <f t="shared" si="3"/>
        <v>1177.6990000000001</v>
      </c>
      <c r="I27" s="54">
        <f t="shared" si="4"/>
        <v>1538</v>
      </c>
      <c r="J27" s="55">
        <f t="shared" si="5"/>
        <v>908.03520000000003</v>
      </c>
      <c r="K27" s="54">
        <f t="shared" si="6"/>
        <v>501</v>
      </c>
      <c r="L27" s="55">
        <f t="shared" si="7"/>
        <v>542.38260000000002</v>
      </c>
      <c r="M27" s="54">
        <f t="shared" si="8"/>
        <v>18</v>
      </c>
      <c r="N27" s="55">
        <f t="shared" si="9"/>
        <v>163.64519999999999</v>
      </c>
      <c r="O27" s="54">
        <f t="shared" si="10"/>
        <v>246</v>
      </c>
      <c r="P27" s="55">
        <f t="shared" si="11"/>
        <v>551.5566</v>
      </c>
      <c r="Q27" s="56">
        <f t="shared" si="12"/>
        <v>1666</v>
      </c>
      <c r="R27" s="55">
        <f t="shared" si="13"/>
        <v>723.04399999999998</v>
      </c>
      <c r="S27" s="55">
        <f t="shared" si="14"/>
        <v>6457.9492</v>
      </c>
    </row>
    <row r="28" spans="1:20" outlineLevel="1" x14ac:dyDescent="0.25">
      <c r="A28" s="7">
        <f t="shared" si="15"/>
        <v>21</v>
      </c>
      <c r="B28" s="15">
        <v>390320</v>
      </c>
      <c r="C28" s="16" t="s">
        <v>33</v>
      </c>
      <c r="D28" s="76">
        <f>15931-50</f>
        <v>15881</v>
      </c>
      <c r="E28" s="54">
        <f t="shared" si="0"/>
        <v>801</v>
      </c>
      <c r="F28" s="55">
        <f t="shared" si="1"/>
        <v>2341.8836999999999</v>
      </c>
      <c r="G28" s="54">
        <f t="shared" si="2"/>
        <v>289</v>
      </c>
      <c r="H28" s="55">
        <f t="shared" si="3"/>
        <v>1153.7457999999999</v>
      </c>
      <c r="I28" s="54">
        <f t="shared" si="4"/>
        <v>1507</v>
      </c>
      <c r="J28" s="55">
        <f t="shared" si="5"/>
        <v>889.7328</v>
      </c>
      <c r="K28" s="54">
        <f t="shared" si="6"/>
        <v>491</v>
      </c>
      <c r="L28" s="55">
        <f t="shared" si="7"/>
        <v>531.5566</v>
      </c>
      <c r="M28" s="54">
        <f t="shared" si="8"/>
        <v>18</v>
      </c>
      <c r="N28" s="55">
        <f t="shared" si="9"/>
        <v>163.64519999999999</v>
      </c>
      <c r="O28" s="54">
        <f t="shared" si="10"/>
        <v>241</v>
      </c>
      <c r="P28" s="55">
        <f t="shared" si="11"/>
        <v>540.34609999999998</v>
      </c>
      <c r="Q28" s="56">
        <f t="shared" si="12"/>
        <v>1632</v>
      </c>
      <c r="R28" s="55">
        <f t="shared" si="13"/>
        <v>708.28800000000001</v>
      </c>
      <c r="S28" s="55">
        <f t="shared" si="14"/>
        <v>6329.1981999999989</v>
      </c>
    </row>
    <row r="29" spans="1:20" outlineLevel="1" x14ac:dyDescent="0.25">
      <c r="A29" s="7">
        <f t="shared" si="15"/>
        <v>22</v>
      </c>
      <c r="B29" s="15">
        <v>390180</v>
      </c>
      <c r="C29" s="16" t="s">
        <v>102</v>
      </c>
      <c r="D29" s="76">
        <f>27633-103</f>
        <v>27530</v>
      </c>
      <c r="E29" s="54">
        <f t="shared" si="0"/>
        <v>1389</v>
      </c>
      <c r="F29" s="55">
        <f t="shared" si="1"/>
        <v>4061.0192999999999</v>
      </c>
      <c r="G29" s="54">
        <f t="shared" si="2"/>
        <v>500</v>
      </c>
      <c r="H29" s="55">
        <f t="shared" si="3"/>
        <v>1996.1</v>
      </c>
      <c r="I29" s="54">
        <f t="shared" si="4"/>
        <v>2612</v>
      </c>
      <c r="J29" s="55">
        <f t="shared" si="5"/>
        <v>1542.1248000000001</v>
      </c>
      <c r="K29" s="54">
        <f t="shared" si="6"/>
        <v>851</v>
      </c>
      <c r="L29" s="55">
        <f t="shared" si="7"/>
        <v>921.29259999999999</v>
      </c>
      <c r="M29" s="54">
        <f t="shared" si="8"/>
        <v>31</v>
      </c>
      <c r="N29" s="55">
        <f t="shared" si="9"/>
        <v>281.83339999999998</v>
      </c>
      <c r="O29" s="54">
        <f t="shared" si="10"/>
        <v>418</v>
      </c>
      <c r="P29" s="55">
        <f t="shared" si="11"/>
        <v>937.19780000000003</v>
      </c>
      <c r="Q29" s="56">
        <f t="shared" si="12"/>
        <v>2830</v>
      </c>
      <c r="R29" s="55">
        <f t="shared" si="13"/>
        <v>1228.22</v>
      </c>
      <c r="S29" s="55">
        <f t="shared" si="14"/>
        <v>10967.787899999999</v>
      </c>
    </row>
    <row r="30" spans="1:20" outlineLevel="1" x14ac:dyDescent="0.25">
      <c r="A30" s="7">
        <f t="shared" si="15"/>
        <v>23</v>
      </c>
      <c r="B30" s="15">
        <v>390270</v>
      </c>
      <c r="C30" s="16" t="s">
        <v>34</v>
      </c>
      <c r="D30" s="76">
        <f>15223-45</f>
        <v>15178</v>
      </c>
      <c r="E30" s="54">
        <f t="shared" si="0"/>
        <v>766</v>
      </c>
      <c r="F30" s="55">
        <f t="shared" si="1"/>
        <v>2239.5542</v>
      </c>
      <c r="G30" s="54">
        <f t="shared" si="2"/>
        <v>276</v>
      </c>
      <c r="H30" s="55">
        <f t="shared" si="3"/>
        <v>1101.8471999999999</v>
      </c>
      <c r="I30" s="54">
        <f t="shared" si="4"/>
        <v>1440</v>
      </c>
      <c r="J30" s="55">
        <f t="shared" si="5"/>
        <v>850.17600000000004</v>
      </c>
      <c r="K30" s="54">
        <f t="shared" si="6"/>
        <v>469</v>
      </c>
      <c r="L30" s="55">
        <f t="shared" si="7"/>
        <v>507.73939999999999</v>
      </c>
      <c r="M30" s="54">
        <f t="shared" si="8"/>
        <v>17</v>
      </c>
      <c r="N30" s="55">
        <f t="shared" si="9"/>
        <v>154.5538</v>
      </c>
      <c r="O30" s="54">
        <f t="shared" si="10"/>
        <v>231</v>
      </c>
      <c r="P30" s="55">
        <f t="shared" si="11"/>
        <v>517.92510000000004</v>
      </c>
      <c r="Q30" s="56">
        <f t="shared" si="12"/>
        <v>1560</v>
      </c>
      <c r="R30" s="55">
        <f t="shared" si="13"/>
        <v>677.04</v>
      </c>
      <c r="S30" s="55">
        <f t="shared" si="14"/>
        <v>6048.8357000000005</v>
      </c>
    </row>
    <row r="31" spans="1:20" outlineLevel="1" x14ac:dyDescent="0.25">
      <c r="A31" s="7">
        <f t="shared" si="15"/>
        <v>24</v>
      </c>
      <c r="B31" s="15">
        <v>390190</v>
      </c>
      <c r="C31" s="16" t="s">
        <v>35</v>
      </c>
      <c r="D31" s="76">
        <f>33893-159</f>
        <v>33734</v>
      </c>
      <c r="E31" s="54">
        <f t="shared" si="0"/>
        <v>1702</v>
      </c>
      <c r="F31" s="55">
        <f t="shared" si="1"/>
        <v>4976.1373999999996</v>
      </c>
      <c r="G31" s="54">
        <f t="shared" si="2"/>
        <v>613</v>
      </c>
      <c r="H31" s="55">
        <f t="shared" si="3"/>
        <v>2447.2186000000002</v>
      </c>
      <c r="I31" s="54">
        <f t="shared" si="4"/>
        <v>3201</v>
      </c>
      <c r="J31" s="55">
        <f t="shared" si="5"/>
        <v>1889.8704</v>
      </c>
      <c r="K31" s="54">
        <f t="shared" si="6"/>
        <v>1043</v>
      </c>
      <c r="L31" s="55">
        <f t="shared" si="7"/>
        <v>1129.1518000000001</v>
      </c>
      <c r="M31" s="54">
        <f t="shared" si="8"/>
        <v>38</v>
      </c>
      <c r="N31" s="55">
        <f t="shared" si="9"/>
        <v>345.47320000000002</v>
      </c>
      <c r="O31" s="54">
        <f t="shared" si="10"/>
        <v>512</v>
      </c>
      <c r="P31" s="55">
        <f t="shared" si="11"/>
        <v>1147.9552000000001</v>
      </c>
      <c r="Q31" s="56">
        <f t="shared" si="12"/>
        <v>3467</v>
      </c>
      <c r="R31" s="55">
        <f t="shared" si="13"/>
        <v>1504.6780000000001</v>
      </c>
      <c r="S31" s="55">
        <f t="shared" si="14"/>
        <v>13440.4846</v>
      </c>
    </row>
    <row r="32" spans="1:20" outlineLevel="1" x14ac:dyDescent="0.25">
      <c r="A32" s="7">
        <f t="shared" si="15"/>
        <v>25</v>
      </c>
      <c r="B32" s="15">
        <v>390280</v>
      </c>
      <c r="C32" s="16" t="s">
        <v>36</v>
      </c>
      <c r="D32" s="76">
        <f>39977-170</f>
        <v>39807</v>
      </c>
      <c r="E32" s="54">
        <f t="shared" si="0"/>
        <v>2009</v>
      </c>
      <c r="F32" s="55">
        <f t="shared" si="1"/>
        <v>5873.7133000000003</v>
      </c>
      <c r="G32" s="54">
        <f t="shared" si="2"/>
        <v>724</v>
      </c>
      <c r="H32" s="55">
        <f t="shared" si="3"/>
        <v>2890.3528000000001</v>
      </c>
      <c r="I32" s="54">
        <f t="shared" si="4"/>
        <v>3777</v>
      </c>
      <c r="J32" s="55">
        <f t="shared" si="5"/>
        <v>2229.9407999999999</v>
      </c>
      <c r="K32" s="54">
        <f t="shared" si="6"/>
        <v>1231</v>
      </c>
      <c r="L32" s="55">
        <f t="shared" si="7"/>
        <v>1332.6805999999999</v>
      </c>
      <c r="M32" s="54">
        <f t="shared" si="8"/>
        <v>45</v>
      </c>
      <c r="N32" s="55">
        <f t="shared" si="9"/>
        <v>409.113</v>
      </c>
      <c r="O32" s="54">
        <f t="shared" si="10"/>
        <v>605</v>
      </c>
      <c r="P32" s="55">
        <f t="shared" si="11"/>
        <v>1356.4704999999999</v>
      </c>
      <c r="Q32" s="56">
        <f t="shared" si="12"/>
        <v>4091</v>
      </c>
      <c r="R32" s="55">
        <f t="shared" si="13"/>
        <v>1775.4939999999999</v>
      </c>
      <c r="S32" s="55">
        <f t="shared" si="14"/>
        <v>15867.764999999999</v>
      </c>
    </row>
    <row r="33" spans="1:20" outlineLevel="1" x14ac:dyDescent="0.25">
      <c r="A33" s="7">
        <f t="shared" si="15"/>
        <v>26</v>
      </c>
      <c r="B33" s="15">
        <v>390600</v>
      </c>
      <c r="C33" s="17" t="s">
        <v>104</v>
      </c>
      <c r="D33" s="76">
        <f>12963-1</f>
        <v>12962</v>
      </c>
      <c r="E33" s="54">
        <f t="shared" si="0"/>
        <v>654</v>
      </c>
      <c r="F33" s="55">
        <f t="shared" si="1"/>
        <v>1912.0998</v>
      </c>
      <c r="G33" s="54">
        <f t="shared" si="2"/>
        <v>236</v>
      </c>
      <c r="H33" s="55">
        <f t="shared" si="3"/>
        <v>942.15920000000006</v>
      </c>
      <c r="I33" s="54">
        <f t="shared" si="4"/>
        <v>1230</v>
      </c>
      <c r="J33" s="55">
        <f t="shared" si="5"/>
        <v>726.19200000000001</v>
      </c>
      <c r="K33" s="54">
        <f t="shared" si="6"/>
        <v>401</v>
      </c>
      <c r="L33" s="55">
        <f t="shared" si="7"/>
        <v>434.12259999999998</v>
      </c>
      <c r="M33" s="54">
        <f t="shared" si="8"/>
        <v>15</v>
      </c>
      <c r="N33" s="55">
        <f t="shared" si="9"/>
        <v>136.37100000000001</v>
      </c>
      <c r="O33" s="54">
        <f t="shared" si="10"/>
        <v>197</v>
      </c>
      <c r="P33" s="55">
        <f t="shared" si="11"/>
        <v>441.69369999999998</v>
      </c>
      <c r="Q33" s="56">
        <f t="shared" si="12"/>
        <v>1332</v>
      </c>
      <c r="R33" s="55">
        <f t="shared" si="13"/>
        <v>578.08799999999997</v>
      </c>
      <c r="S33" s="55">
        <f t="shared" si="14"/>
        <v>5170.7262999999994</v>
      </c>
    </row>
    <row r="34" spans="1:20" ht="21" customHeight="1" outlineLevel="1" x14ac:dyDescent="0.25">
      <c r="A34" s="18">
        <f t="shared" si="15"/>
        <v>27</v>
      </c>
      <c r="B34" s="15">
        <v>390340</v>
      </c>
      <c r="C34" s="17" t="s">
        <v>38</v>
      </c>
      <c r="D34" s="76">
        <f>13413-30</f>
        <v>13383</v>
      </c>
      <c r="E34" s="54">
        <f t="shared" si="0"/>
        <v>675</v>
      </c>
      <c r="F34" s="55">
        <f t="shared" si="1"/>
        <v>1973.4974999999999</v>
      </c>
      <c r="G34" s="54">
        <f t="shared" si="2"/>
        <v>243</v>
      </c>
      <c r="H34" s="55">
        <f t="shared" si="3"/>
        <v>970.1046</v>
      </c>
      <c r="I34" s="54">
        <f t="shared" si="4"/>
        <v>1270</v>
      </c>
      <c r="J34" s="55">
        <f t="shared" si="5"/>
        <v>749.80799999999999</v>
      </c>
      <c r="K34" s="54">
        <f t="shared" si="6"/>
        <v>414</v>
      </c>
      <c r="L34" s="55">
        <f t="shared" si="7"/>
        <v>448.19639999999998</v>
      </c>
      <c r="M34" s="54">
        <f t="shared" si="8"/>
        <v>15</v>
      </c>
      <c r="N34" s="55">
        <f t="shared" si="9"/>
        <v>136.37100000000001</v>
      </c>
      <c r="O34" s="54">
        <f t="shared" si="10"/>
        <v>203</v>
      </c>
      <c r="P34" s="55">
        <f t="shared" si="11"/>
        <v>455.1463</v>
      </c>
      <c r="Q34" s="56">
        <f t="shared" si="12"/>
        <v>1375</v>
      </c>
      <c r="R34" s="55">
        <f t="shared" si="13"/>
        <v>596.75</v>
      </c>
      <c r="S34" s="55">
        <f t="shared" si="14"/>
        <v>5329.8738000000003</v>
      </c>
    </row>
    <row r="35" spans="1:20" ht="36.75" customHeight="1" outlineLevel="1" x14ac:dyDescent="0.25">
      <c r="A35" s="18">
        <v>28</v>
      </c>
      <c r="B35" s="127">
        <v>391400</v>
      </c>
      <c r="C35" s="35" t="s">
        <v>113</v>
      </c>
      <c r="D35" s="76">
        <v>6441</v>
      </c>
      <c r="E35" s="54">
        <f t="shared" si="0"/>
        <v>325</v>
      </c>
      <c r="F35" s="55">
        <f t="shared" si="1"/>
        <v>950.20249999999999</v>
      </c>
      <c r="G35" s="54">
        <f t="shared" si="2"/>
        <v>117</v>
      </c>
      <c r="H35" s="55">
        <f t="shared" si="3"/>
        <v>467.0874</v>
      </c>
      <c r="I35" s="54">
        <f t="shared" si="4"/>
        <v>611</v>
      </c>
      <c r="J35" s="55">
        <f t="shared" si="5"/>
        <v>360.73439999999999</v>
      </c>
      <c r="K35" s="54">
        <f t="shared" si="6"/>
        <v>199</v>
      </c>
      <c r="L35" s="55">
        <f t="shared" si="7"/>
        <v>215.4374</v>
      </c>
      <c r="M35" s="54">
        <f t="shared" si="8"/>
        <v>7</v>
      </c>
      <c r="N35" s="55">
        <f t="shared" si="9"/>
        <v>63.639800000000001</v>
      </c>
      <c r="O35" s="54">
        <f t="shared" si="10"/>
        <v>98</v>
      </c>
      <c r="P35" s="55">
        <f t="shared" si="11"/>
        <v>219.72579999999999</v>
      </c>
      <c r="Q35" s="56">
        <f t="shared" si="12"/>
        <v>662</v>
      </c>
      <c r="R35" s="55">
        <f t="shared" si="13"/>
        <v>287.30799999999999</v>
      </c>
      <c r="S35" s="55">
        <f t="shared" si="14"/>
        <v>2564.1353000000004</v>
      </c>
    </row>
    <row r="36" spans="1:20" s="68" customFormat="1" hidden="1" outlineLevel="2" x14ac:dyDescent="0.25">
      <c r="A36" s="65"/>
      <c r="B36" s="19"/>
      <c r="C36" s="20" t="s">
        <v>39</v>
      </c>
      <c r="D36" s="120">
        <f>SUM(D8:D35)</f>
        <v>1042877</v>
      </c>
      <c r="E36" s="122">
        <f>SUM(E8:E35)</f>
        <v>50940</v>
      </c>
      <c r="F36" s="121">
        <f t="shared" ref="F36:S36" si="16">SUM(F8:F35)</f>
        <v>148933.27800000002</v>
      </c>
      <c r="G36" s="122">
        <f t="shared" si="16"/>
        <v>18959</v>
      </c>
      <c r="H36" s="121">
        <f t="shared" si="16"/>
        <v>75688.119799999986</v>
      </c>
      <c r="I36" s="122">
        <f t="shared" si="16"/>
        <v>98956</v>
      </c>
      <c r="J36" s="121">
        <f t="shared" si="16"/>
        <v>58423.622399999986</v>
      </c>
      <c r="K36" s="122">
        <f t="shared" si="16"/>
        <v>32243</v>
      </c>
      <c r="L36" s="121">
        <f t="shared" si="16"/>
        <v>34906.27180000001</v>
      </c>
      <c r="M36" s="122">
        <f t="shared" si="16"/>
        <v>1168</v>
      </c>
      <c r="N36" s="121">
        <f t="shared" si="16"/>
        <v>10618.7552</v>
      </c>
      <c r="O36" s="122">
        <f t="shared" si="16"/>
        <v>15844</v>
      </c>
      <c r="P36" s="121">
        <f t="shared" si="16"/>
        <v>35523.832400000007</v>
      </c>
      <c r="Q36" s="122">
        <f t="shared" si="16"/>
        <v>107186</v>
      </c>
      <c r="R36" s="121">
        <f t="shared" si="16"/>
        <v>46518.724000000009</v>
      </c>
      <c r="S36" s="121">
        <f t="shared" si="16"/>
        <v>410612.60359999997</v>
      </c>
      <c r="T36" s="96"/>
    </row>
    <row r="37" spans="1:20" s="80" customFormat="1" hidden="1" outlineLevel="2" x14ac:dyDescent="0.25">
      <c r="A37" s="73"/>
      <c r="B37" s="74"/>
      <c r="C37" s="75" t="s">
        <v>40</v>
      </c>
      <c r="D37" s="76">
        <f>47-9</f>
        <v>38</v>
      </c>
      <c r="E37" s="77">
        <f t="shared" ref="E37:R37" si="17">E38-E36</f>
        <v>1691</v>
      </c>
      <c r="F37" s="78">
        <f t="shared" si="17"/>
        <v>4944.0219999999681</v>
      </c>
      <c r="G37" s="77">
        <f t="shared" si="17"/>
        <v>0</v>
      </c>
      <c r="H37" s="78">
        <f t="shared" si="17"/>
        <v>-1.9799999980023131E-2</v>
      </c>
      <c r="I37" s="77">
        <f t="shared" si="17"/>
        <v>6</v>
      </c>
      <c r="J37" s="78">
        <f t="shared" si="17"/>
        <v>3.5776000000114436</v>
      </c>
      <c r="K37" s="77">
        <f t="shared" si="17"/>
        <v>2</v>
      </c>
      <c r="L37" s="78">
        <f t="shared" si="17"/>
        <v>2.1281999999919208</v>
      </c>
      <c r="M37" s="77">
        <f t="shared" si="17"/>
        <v>0</v>
      </c>
      <c r="N37" s="78">
        <f t="shared" si="17"/>
        <v>4.4799999999668216E-2</v>
      </c>
      <c r="O37" s="77">
        <f t="shared" si="17"/>
        <v>0</v>
      </c>
      <c r="P37" s="78">
        <f t="shared" si="17"/>
        <v>-3.2400000003690366E-2</v>
      </c>
      <c r="Q37" s="79">
        <f t="shared" si="17"/>
        <v>4</v>
      </c>
      <c r="R37" s="78">
        <f t="shared" si="17"/>
        <v>1.775999999990745</v>
      </c>
      <c r="S37" s="78">
        <f t="shared" si="14"/>
        <v>4951.4963999999782</v>
      </c>
      <c r="T37" s="97"/>
    </row>
    <row r="38" spans="1:20" s="134" customFormat="1" hidden="1" outlineLevel="2" x14ac:dyDescent="0.25">
      <c r="A38" s="128"/>
      <c r="B38" s="129"/>
      <c r="C38" s="130" t="s">
        <v>41</v>
      </c>
      <c r="D38" s="131">
        <f>D36+D37</f>
        <v>1042915</v>
      </c>
      <c r="E38" s="57">
        <v>52631</v>
      </c>
      <c r="F38" s="58">
        <v>153877.29999999999</v>
      </c>
      <c r="G38" s="59">
        <v>18959</v>
      </c>
      <c r="H38" s="58">
        <v>75688.100000000006</v>
      </c>
      <c r="I38" s="59">
        <v>98962</v>
      </c>
      <c r="J38" s="58">
        <v>58427.199999999997</v>
      </c>
      <c r="K38" s="59">
        <v>32245</v>
      </c>
      <c r="L38" s="58">
        <v>34908.400000000001</v>
      </c>
      <c r="M38" s="59">
        <v>1168</v>
      </c>
      <c r="N38" s="58">
        <v>10618.8</v>
      </c>
      <c r="O38" s="59">
        <v>15844</v>
      </c>
      <c r="P38" s="58">
        <v>35523.800000000003</v>
      </c>
      <c r="Q38" s="59">
        <v>107190</v>
      </c>
      <c r="R38" s="58">
        <v>46520.5</v>
      </c>
      <c r="S38" s="132">
        <f>F38+H38+J38+L38+N38+P38+R38</f>
        <v>415564.1</v>
      </c>
      <c r="T38" s="133"/>
    </row>
    <row r="39" spans="1:20" x14ac:dyDescent="0.25">
      <c r="A39" s="23"/>
      <c r="B39" s="24"/>
      <c r="C39" s="24"/>
      <c r="D39" s="117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25"/>
    </row>
    <row r="40" spans="1:20" s="14" customFormat="1" ht="37.5" customHeight="1" x14ac:dyDescent="0.25">
      <c r="A40" s="148" t="s">
        <v>114</v>
      </c>
      <c r="B40" s="148"/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48"/>
      <c r="R40" s="148"/>
      <c r="S40" s="148"/>
      <c r="T40" s="40"/>
    </row>
    <row r="41" spans="1:20" s="29" customFormat="1" ht="15.75" customHeight="1" x14ac:dyDescent="0.25">
      <c r="D41" s="83"/>
      <c r="F41" s="30"/>
      <c r="I41" s="67"/>
      <c r="J41" s="51"/>
      <c r="K41" s="51"/>
      <c r="L41" s="51"/>
      <c r="M41" s="51"/>
      <c r="N41" s="51"/>
      <c r="O41" s="31"/>
      <c r="P41" s="30"/>
      <c r="Q41" s="32"/>
      <c r="R41" s="33"/>
      <c r="S41" s="30"/>
      <c r="T41" s="99"/>
    </row>
    <row r="42" spans="1:20" s="14" customFormat="1" ht="63" customHeight="1" x14ac:dyDescent="0.25">
      <c r="A42" s="136" t="s">
        <v>0</v>
      </c>
      <c r="B42" s="137" t="s">
        <v>1</v>
      </c>
      <c r="C42" s="136" t="s">
        <v>2</v>
      </c>
      <c r="D42" s="84"/>
      <c r="E42" s="143" t="s">
        <v>3</v>
      </c>
      <c r="F42" s="144"/>
      <c r="G42" s="145" t="s">
        <v>4</v>
      </c>
      <c r="H42" s="146"/>
      <c r="I42" s="145" t="s">
        <v>5</v>
      </c>
      <c r="J42" s="146"/>
      <c r="K42" s="145" t="s">
        <v>6</v>
      </c>
      <c r="L42" s="146"/>
      <c r="M42" s="145" t="s">
        <v>7</v>
      </c>
      <c r="N42" s="146"/>
      <c r="O42" s="145" t="s">
        <v>8</v>
      </c>
      <c r="P42" s="146"/>
      <c r="Q42" s="145" t="s">
        <v>9</v>
      </c>
      <c r="R42" s="146"/>
      <c r="S42" s="147" t="s">
        <v>10</v>
      </c>
      <c r="T42" s="40"/>
    </row>
    <row r="43" spans="1:20" s="14" customFormat="1" ht="31.5" x14ac:dyDescent="0.25">
      <c r="A43" s="136"/>
      <c r="B43" s="139"/>
      <c r="C43" s="136"/>
      <c r="D43" s="85"/>
      <c r="E43" s="5" t="s">
        <v>11</v>
      </c>
      <c r="F43" s="6" t="s">
        <v>115</v>
      </c>
      <c r="G43" s="5" t="s">
        <v>11</v>
      </c>
      <c r="H43" s="6" t="s">
        <v>115</v>
      </c>
      <c r="I43" s="5" t="s">
        <v>11</v>
      </c>
      <c r="J43" s="6" t="s">
        <v>115</v>
      </c>
      <c r="K43" s="5" t="s">
        <v>11</v>
      </c>
      <c r="L43" s="6" t="s">
        <v>115</v>
      </c>
      <c r="M43" s="5" t="s">
        <v>11</v>
      </c>
      <c r="N43" s="6" t="s">
        <v>115</v>
      </c>
      <c r="O43" s="5" t="s">
        <v>11</v>
      </c>
      <c r="P43" s="6" t="s">
        <v>115</v>
      </c>
      <c r="Q43" s="5" t="s">
        <v>11</v>
      </c>
      <c r="R43" s="6" t="s">
        <v>115</v>
      </c>
      <c r="S43" s="147"/>
      <c r="T43" s="40"/>
    </row>
    <row r="44" spans="1:20" s="36" customFormat="1" ht="31.5" x14ac:dyDescent="0.25">
      <c r="A44" s="7">
        <v>1</v>
      </c>
      <c r="B44" s="34">
        <v>390470</v>
      </c>
      <c r="C44" s="35" t="s">
        <v>42</v>
      </c>
      <c r="D44" s="86"/>
      <c r="E44" s="10">
        <f>22901-100</f>
        <v>22801</v>
      </c>
      <c r="F44" s="13">
        <f>ROUND(E44*$F$6/1000,5)</f>
        <v>66663.2837</v>
      </c>
      <c r="G44" s="10">
        <v>9425</v>
      </c>
      <c r="H44" s="13">
        <f>ROUND(G44*$H$6/1000,5)</f>
        <v>37626.485000000001</v>
      </c>
      <c r="I44" s="10">
        <f>10500-600</f>
        <v>9900</v>
      </c>
      <c r="J44" s="13">
        <f>ROUND(I44*$J$6/1000,5)</f>
        <v>5844.96</v>
      </c>
      <c r="K44" s="10">
        <f>7530-199</f>
        <v>7331</v>
      </c>
      <c r="L44" s="13">
        <f>ROUND(K44*$L$6/1000,5)</f>
        <v>7936.5406000000003</v>
      </c>
      <c r="M44" s="10">
        <v>625</v>
      </c>
      <c r="N44" s="13">
        <f>ROUND(M44*$N$6/1000,5)</f>
        <v>5682.125</v>
      </c>
      <c r="O44" s="10">
        <v>10000</v>
      </c>
      <c r="P44" s="13">
        <f>ROUND(O44*$P$6/1000,5)</f>
        <v>22421</v>
      </c>
      <c r="Q44" s="10">
        <v>0</v>
      </c>
      <c r="R44" s="13">
        <f>ROUND(Q44*$R$6/1000,5)</f>
        <v>0</v>
      </c>
      <c r="S44" s="13">
        <f>F44+H44+J44+L44+N44+P44+R44</f>
        <v>146174.39430000001</v>
      </c>
      <c r="T44" s="116"/>
    </row>
    <row r="45" spans="1:20" s="36" customFormat="1" x14ac:dyDescent="0.25">
      <c r="A45" s="7">
        <v>2</v>
      </c>
      <c r="B45" s="15">
        <v>390800</v>
      </c>
      <c r="C45" s="35" t="s">
        <v>43</v>
      </c>
      <c r="D45" s="86"/>
      <c r="E45" s="10">
        <v>4600</v>
      </c>
      <c r="F45" s="13">
        <f t="shared" ref="F45:F89" si="18">ROUND(E45*$F$6/1000,5)</f>
        <v>13449.02</v>
      </c>
      <c r="G45" s="10">
        <v>4000</v>
      </c>
      <c r="H45" s="13">
        <f t="shared" ref="H45:H89" si="19">ROUND(G45*$H$6/1000,5)</f>
        <v>15968.8</v>
      </c>
      <c r="I45" s="10">
        <v>1104</v>
      </c>
      <c r="J45" s="13">
        <f t="shared" ref="J45:J89" si="20">ROUND(I45*$J$6/1000,5)</f>
        <v>651.80160000000001</v>
      </c>
      <c r="K45" s="10">
        <v>500</v>
      </c>
      <c r="L45" s="13">
        <f t="shared" ref="L45:L89" si="21">ROUND(K45*$L$6/1000,5)</f>
        <v>541.29999999999995</v>
      </c>
      <c r="M45" s="10"/>
      <c r="N45" s="13">
        <f t="shared" ref="N45:N89" si="22">ROUND(M45*$N$6/1000,5)</f>
        <v>0</v>
      </c>
      <c r="O45" s="10"/>
      <c r="P45" s="13">
        <f t="shared" ref="P45:P89" si="23">ROUND(O45*$P$6/1000,5)</f>
        <v>0</v>
      </c>
      <c r="Q45" s="10">
        <v>0</v>
      </c>
      <c r="R45" s="13">
        <f t="shared" ref="R45:R89" si="24">ROUND(Q45*$R$6/1000,5)</f>
        <v>0</v>
      </c>
      <c r="S45" s="13">
        <f t="shared" ref="S45:S88" si="25">F45+H45+J45+L45+N45+P45+R45</f>
        <v>30610.921599999998</v>
      </c>
      <c r="T45" s="116"/>
    </row>
    <row r="46" spans="1:20" s="36" customFormat="1" x14ac:dyDescent="0.25">
      <c r="A46" s="7">
        <v>3</v>
      </c>
      <c r="B46" s="15">
        <v>391100</v>
      </c>
      <c r="C46" s="35" t="s">
        <v>44</v>
      </c>
      <c r="D46" s="86"/>
      <c r="E46" s="10">
        <v>0</v>
      </c>
      <c r="F46" s="13">
        <f t="shared" si="18"/>
        <v>0</v>
      </c>
      <c r="G46" s="10">
        <v>0</v>
      </c>
      <c r="H46" s="13">
        <f t="shared" si="19"/>
        <v>0</v>
      </c>
      <c r="I46" s="10"/>
      <c r="J46" s="13">
        <f t="shared" si="20"/>
        <v>0</v>
      </c>
      <c r="K46" s="10">
        <v>0</v>
      </c>
      <c r="L46" s="13">
        <f t="shared" si="21"/>
        <v>0</v>
      </c>
      <c r="M46" s="10"/>
      <c r="N46" s="13">
        <f t="shared" si="22"/>
        <v>0</v>
      </c>
      <c r="O46" s="10"/>
      <c r="P46" s="13">
        <f t="shared" si="23"/>
        <v>0</v>
      </c>
      <c r="Q46" s="10">
        <v>66040</v>
      </c>
      <c r="R46" s="13">
        <f t="shared" si="24"/>
        <v>28661.360000000001</v>
      </c>
      <c r="S46" s="13">
        <f t="shared" si="25"/>
        <v>28661.360000000001</v>
      </c>
      <c r="T46" s="116"/>
    </row>
    <row r="47" spans="1:20" s="36" customFormat="1" ht="31.5" x14ac:dyDescent="0.25">
      <c r="A47" s="7">
        <v>4</v>
      </c>
      <c r="B47" s="34">
        <v>390050</v>
      </c>
      <c r="C47" s="35" t="s">
        <v>45</v>
      </c>
      <c r="D47" s="86"/>
      <c r="E47" s="10">
        <v>0</v>
      </c>
      <c r="F47" s="13">
        <f t="shared" si="18"/>
        <v>0</v>
      </c>
      <c r="G47" s="10">
        <v>0</v>
      </c>
      <c r="H47" s="13">
        <f t="shared" si="19"/>
        <v>0</v>
      </c>
      <c r="I47" s="10"/>
      <c r="J47" s="13">
        <f t="shared" si="20"/>
        <v>0</v>
      </c>
      <c r="K47" s="10">
        <v>0</v>
      </c>
      <c r="L47" s="13">
        <f t="shared" si="21"/>
        <v>0</v>
      </c>
      <c r="M47" s="10"/>
      <c r="N47" s="13">
        <f t="shared" si="22"/>
        <v>0</v>
      </c>
      <c r="O47" s="10"/>
      <c r="P47" s="13">
        <f t="shared" si="23"/>
        <v>0</v>
      </c>
      <c r="Q47" s="10">
        <v>15000</v>
      </c>
      <c r="R47" s="13">
        <f t="shared" si="24"/>
        <v>6510</v>
      </c>
      <c r="S47" s="13">
        <f t="shared" si="25"/>
        <v>6510</v>
      </c>
      <c r="T47" s="116"/>
    </row>
    <row r="48" spans="1:20" s="36" customFormat="1" ht="31.5" x14ac:dyDescent="0.25">
      <c r="A48" s="7">
        <v>5</v>
      </c>
      <c r="B48" s="8">
        <v>390440</v>
      </c>
      <c r="C48" s="9" t="s">
        <v>13</v>
      </c>
      <c r="D48" s="87"/>
      <c r="E48" s="10">
        <v>4300</v>
      </c>
      <c r="F48" s="13">
        <f t="shared" si="18"/>
        <v>12571.91</v>
      </c>
      <c r="G48" s="10">
        <v>0</v>
      </c>
      <c r="H48" s="13">
        <f t="shared" si="19"/>
        <v>0</v>
      </c>
      <c r="I48" s="10">
        <v>10000</v>
      </c>
      <c r="J48" s="13">
        <f t="shared" si="20"/>
        <v>5904</v>
      </c>
      <c r="K48" s="10">
        <v>2500</v>
      </c>
      <c r="L48" s="13">
        <f t="shared" si="21"/>
        <v>2706.5</v>
      </c>
      <c r="M48" s="10"/>
      <c r="N48" s="13">
        <f t="shared" si="22"/>
        <v>0</v>
      </c>
      <c r="O48" s="10">
        <v>5044</v>
      </c>
      <c r="P48" s="13">
        <f t="shared" si="23"/>
        <v>11309.152400000001</v>
      </c>
      <c r="Q48" s="10">
        <v>26000</v>
      </c>
      <c r="R48" s="13">
        <f t="shared" si="24"/>
        <v>11284</v>
      </c>
      <c r="S48" s="13">
        <f t="shared" si="25"/>
        <v>43775.562400000003</v>
      </c>
      <c r="T48" s="116"/>
    </row>
    <row r="49" spans="1:21" s="14" customFormat="1" ht="31.5" x14ac:dyDescent="0.25">
      <c r="A49" s="7">
        <v>6</v>
      </c>
      <c r="B49" s="34">
        <v>390070</v>
      </c>
      <c r="C49" s="35" t="s">
        <v>46</v>
      </c>
      <c r="D49" s="86"/>
      <c r="E49" s="10">
        <v>8600</v>
      </c>
      <c r="F49" s="13">
        <f t="shared" si="18"/>
        <v>25143.82</v>
      </c>
      <c r="G49" s="10">
        <v>2000</v>
      </c>
      <c r="H49" s="13">
        <f t="shared" si="19"/>
        <v>7984.4</v>
      </c>
      <c r="I49" s="10"/>
      <c r="J49" s="13">
        <f t="shared" si="20"/>
        <v>0</v>
      </c>
      <c r="K49" s="10">
        <v>700</v>
      </c>
      <c r="L49" s="13">
        <f t="shared" si="21"/>
        <v>757.82</v>
      </c>
      <c r="M49" s="10"/>
      <c r="N49" s="13">
        <f t="shared" si="22"/>
        <v>0</v>
      </c>
      <c r="O49" s="10"/>
      <c r="P49" s="13">
        <f t="shared" si="23"/>
        <v>0</v>
      </c>
      <c r="Q49" s="10">
        <v>0</v>
      </c>
      <c r="R49" s="13">
        <f t="shared" si="24"/>
        <v>0</v>
      </c>
      <c r="S49" s="13">
        <f t="shared" si="25"/>
        <v>33886.04</v>
      </c>
      <c r="T49" s="116"/>
      <c r="U49" s="36"/>
    </row>
    <row r="50" spans="1:21" s="14" customFormat="1" x14ac:dyDescent="0.25">
      <c r="A50" s="7">
        <v>7</v>
      </c>
      <c r="B50" s="8">
        <v>390100</v>
      </c>
      <c r="C50" s="12" t="s">
        <v>14</v>
      </c>
      <c r="D50" s="75"/>
      <c r="E50" s="10">
        <v>0</v>
      </c>
      <c r="F50" s="13">
        <f t="shared" si="18"/>
        <v>0</v>
      </c>
      <c r="G50" s="10">
        <v>0</v>
      </c>
      <c r="H50" s="13">
        <f t="shared" si="19"/>
        <v>0</v>
      </c>
      <c r="I50" s="10">
        <v>1500</v>
      </c>
      <c r="J50" s="13">
        <f t="shared" si="20"/>
        <v>885.6</v>
      </c>
      <c r="K50" s="10">
        <v>3000</v>
      </c>
      <c r="L50" s="13">
        <f t="shared" si="21"/>
        <v>3247.8</v>
      </c>
      <c r="M50" s="10"/>
      <c r="N50" s="13">
        <f t="shared" si="22"/>
        <v>0</v>
      </c>
      <c r="O50" s="10"/>
      <c r="P50" s="13">
        <f t="shared" si="23"/>
        <v>0</v>
      </c>
      <c r="Q50" s="10">
        <v>0</v>
      </c>
      <c r="R50" s="13">
        <f t="shared" si="24"/>
        <v>0</v>
      </c>
      <c r="S50" s="13">
        <f t="shared" si="25"/>
        <v>4133.4000000000005</v>
      </c>
      <c r="T50" s="116"/>
      <c r="U50" s="36"/>
    </row>
    <row r="51" spans="1:21" s="14" customFormat="1" x14ac:dyDescent="0.25">
      <c r="A51" s="7">
        <v>8</v>
      </c>
      <c r="B51" s="8">
        <v>390090</v>
      </c>
      <c r="C51" s="12" t="s">
        <v>15</v>
      </c>
      <c r="D51" s="75"/>
      <c r="E51" s="10">
        <v>0</v>
      </c>
      <c r="F51" s="13">
        <f t="shared" si="18"/>
        <v>0</v>
      </c>
      <c r="G51" s="10">
        <v>0</v>
      </c>
      <c r="H51" s="13">
        <f t="shared" si="19"/>
        <v>0</v>
      </c>
      <c r="I51" s="10">
        <v>3000</v>
      </c>
      <c r="J51" s="13">
        <f t="shared" si="20"/>
        <v>1771.2</v>
      </c>
      <c r="K51" s="10">
        <v>1000</v>
      </c>
      <c r="L51" s="13">
        <f t="shared" si="21"/>
        <v>1082.5999999999999</v>
      </c>
      <c r="M51" s="10"/>
      <c r="N51" s="13">
        <f t="shared" si="22"/>
        <v>0</v>
      </c>
      <c r="O51" s="10"/>
      <c r="P51" s="13">
        <f t="shared" si="23"/>
        <v>0</v>
      </c>
      <c r="Q51" s="10">
        <v>0</v>
      </c>
      <c r="R51" s="13">
        <f t="shared" si="24"/>
        <v>0</v>
      </c>
      <c r="S51" s="13">
        <f t="shared" si="25"/>
        <v>2853.8</v>
      </c>
      <c r="T51" s="116"/>
      <c r="U51" s="36"/>
    </row>
    <row r="52" spans="1:21" s="14" customFormat="1" x14ac:dyDescent="0.25">
      <c r="A52" s="7">
        <v>9</v>
      </c>
      <c r="B52" s="8">
        <v>390400</v>
      </c>
      <c r="C52" s="12" t="s">
        <v>16</v>
      </c>
      <c r="D52" s="75"/>
      <c r="E52" s="10">
        <v>0</v>
      </c>
      <c r="F52" s="13">
        <f t="shared" si="18"/>
        <v>0</v>
      </c>
      <c r="G52" s="10">
        <v>0</v>
      </c>
      <c r="H52" s="13">
        <f t="shared" si="19"/>
        <v>0</v>
      </c>
      <c r="I52" s="10">
        <v>18000</v>
      </c>
      <c r="J52" s="13">
        <f t="shared" si="20"/>
        <v>10627.2</v>
      </c>
      <c r="K52" s="10">
        <v>5500</v>
      </c>
      <c r="L52" s="13">
        <f t="shared" si="21"/>
        <v>5954.3</v>
      </c>
      <c r="M52" s="10"/>
      <c r="N52" s="13">
        <f t="shared" si="22"/>
        <v>0</v>
      </c>
      <c r="O52" s="10"/>
      <c r="P52" s="13">
        <f t="shared" si="23"/>
        <v>0</v>
      </c>
      <c r="Q52" s="10">
        <v>0</v>
      </c>
      <c r="R52" s="13">
        <f t="shared" si="24"/>
        <v>0</v>
      </c>
      <c r="S52" s="13">
        <f t="shared" si="25"/>
        <v>16581.5</v>
      </c>
      <c r="T52" s="116"/>
      <c r="U52" s="36"/>
    </row>
    <row r="53" spans="1:21" s="14" customFormat="1" x14ac:dyDescent="0.25">
      <c r="A53" s="7">
        <v>10</v>
      </c>
      <c r="B53" s="8">
        <v>390110</v>
      </c>
      <c r="C53" s="12" t="s">
        <v>17</v>
      </c>
      <c r="D53" s="75"/>
      <c r="E53" s="10">
        <v>0</v>
      </c>
      <c r="F53" s="13">
        <f t="shared" si="18"/>
        <v>0</v>
      </c>
      <c r="G53" s="10">
        <v>0</v>
      </c>
      <c r="H53" s="13">
        <f t="shared" si="19"/>
        <v>0</v>
      </c>
      <c r="I53" s="10"/>
      <c r="J53" s="13">
        <f t="shared" si="20"/>
        <v>0</v>
      </c>
      <c r="K53" s="10">
        <v>0</v>
      </c>
      <c r="L53" s="13">
        <f t="shared" si="21"/>
        <v>0</v>
      </c>
      <c r="M53" s="10"/>
      <c r="N53" s="13">
        <f t="shared" si="22"/>
        <v>0</v>
      </c>
      <c r="O53" s="10"/>
      <c r="P53" s="13">
        <f t="shared" si="23"/>
        <v>0</v>
      </c>
      <c r="Q53" s="10">
        <v>0</v>
      </c>
      <c r="R53" s="13">
        <f t="shared" si="24"/>
        <v>0</v>
      </c>
      <c r="S53" s="13">
        <f t="shared" si="25"/>
        <v>0</v>
      </c>
      <c r="T53" s="116"/>
      <c r="U53" s="36"/>
    </row>
    <row r="54" spans="1:21" s="14" customFormat="1" ht="31.5" x14ac:dyDescent="0.25">
      <c r="A54" s="7">
        <v>11</v>
      </c>
      <c r="B54" s="8">
        <v>390890</v>
      </c>
      <c r="C54" s="9" t="s">
        <v>47</v>
      </c>
      <c r="D54" s="87"/>
      <c r="E54" s="10">
        <v>0</v>
      </c>
      <c r="F54" s="13">
        <f t="shared" si="18"/>
        <v>0</v>
      </c>
      <c r="G54" s="10">
        <v>0</v>
      </c>
      <c r="H54" s="13">
        <f t="shared" si="19"/>
        <v>0</v>
      </c>
      <c r="I54" s="10">
        <v>10660</v>
      </c>
      <c r="J54" s="13">
        <f t="shared" si="20"/>
        <v>6293.6639999999998</v>
      </c>
      <c r="K54" s="10">
        <v>0</v>
      </c>
      <c r="L54" s="13">
        <f t="shared" si="21"/>
        <v>0</v>
      </c>
      <c r="M54" s="10"/>
      <c r="N54" s="13">
        <f t="shared" si="22"/>
        <v>0</v>
      </c>
      <c r="O54" s="10"/>
      <c r="P54" s="13">
        <f t="shared" si="23"/>
        <v>0</v>
      </c>
      <c r="Q54" s="10">
        <v>0</v>
      </c>
      <c r="R54" s="13">
        <f t="shared" si="24"/>
        <v>0</v>
      </c>
      <c r="S54" s="13">
        <f t="shared" si="25"/>
        <v>6293.6639999999998</v>
      </c>
      <c r="T54" s="116"/>
      <c r="U54" s="36"/>
    </row>
    <row r="55" spans="1:21" s="14" customFormat="1" x14ac:dyDescent="0.25">
      <c r="A55" s="7">
        <v>12</v>
      </c>
      <c r="B55" s="8">
        <v>390200</v>
      </c>
      <c r="C55" s="12" t="s">
        <v>19</v>
      </c>
      <c r="D55" s="75"/>
      <c r="E55" s="10">
        <v>0</v>
      </c>
      <c r="F55" s="13">
        <f t="shared" si="18"/>
        <v>0</v>
      </c>
      <c r="G55" s="10">
        <v>0</v>
      </c>
      <c r="H55" s="13">
        <f t="shared" si="19"/>
        <v>0</v>
      </c>
      <c r="I55" s="10">
        <v>700</v>
      </c>
      <c r="J55" s="13">
        <f t="shared" si="20"/>
        <v>413.28</v>
      </c>
      <c r="K55" s="10">
        <v>300</v>
      </c>
      <c r="L55" s="13">
        <f t="shared" si="21"/>
        <v>324.77999999999997</v>
      </c>
      <c r="M55" s="10"/>
      <c r="N55" s="13">
        <f t="shared" si="22"/>
        <v>0</v>
      </c>
      <c r="O55" s="10"/>
      <c r="P55" s="13">
        <f t="shared" si="23"/>
        <v>0</v>
      </c>
      <c r="Q55" s="10">
        <v>0</v>
      </c>
      <c r="R55" s="13">
        <f t="shared" si="24"/>
        <v>0</v>
      </c>
      <c r="S55" s="13">
        <f t="shared" si="25"/>
        <v>738.06</v>
      </c>
      <c r="T55" s="116"/>
      <c r="U55" s="36"/>
    </row>
    <row r="56" spans="1:21" s="14" customFormat="1" x14ac:dyDescent="0.25">
      <c r="A56" s="7">
        <v>13</v>
      </c>
      <c r="B56" s="8">
        <v>390160</v>
      </c>
      <c r="C56" s="12" t="s">
        <v>20</v>
      </c>
      <c r="D56" s="75"/>
      <c r="E56" s="10">
        <v>0</v>
      </c>
      <c r="F56" s="13">
        <f t="shared" si="18"/>
        <v>0</v>
      </c>
      <c r="G56" s="10">
        <v>0</v>
      </c>
      <c r="H56" s="13">
        <f t="shared" si="19"/>
        <v>0</v>
      </c>
      <c r="I56" s="10">
        <v>1500</v>
      </c>
      <c r="J56" s="13">
        <f t="shared" si="20"/>
        <v>885.6</v>
      </c>
      <c r="K56" s="10">
        <v>500</v>
      </c>
      <c r="L56" s="13">
        <f t="shared" si="21"/>
        <v>541.29999999999995</v>
      </c>
      <c r="M56" s="10"/>
      <c r="N56" s="13">
        <f t="shared" si="22"/>
        <v>0</v>
      </c>
      <c r="O56" s="10"/>
      <c r="P56" s="13">
        <f t="shared" si="23"/>
        <v>0</v>
      </c>
      <c r="Q56" s="10">
        <v>0</v>
      </c>
      <c r="R56" s="13">
        <f t="shared" si="24"/>
        <v>0</v>
      </c>
      <c r="S56" s="13">
        <f t="shared" si="25"/>
        <v>1426.9</v>
      </c>
      <c r="T56" s="116"/>
      <c r="U56" s="36"/>
    </row>
    <row r="57" spans="1:21" s="14" customFormat="1" x14ac:dyDescent="0.25">
      <c r="A57" s="7">
        <v>14</v>
      </c>
      <c r="B57" s="8">
        <v>390210</v>
      </c>
      <c r="C57" s="12" t="s">
        <v>21</v>
      </c>
      <c r="D57" s="75"/>
      <c r="E57" s="10">
        <v>0</v>
      </c>
      <c r="F57" s="13">
        <f t="shared" si="18"/>
        <v>0</v>
      </c>
      <c r="G57" s="10">
        <v>0</v>
      </c>
      <c r="H57" s="13">
        <f t="shared" si="19"/>
        <v>0</v>
      </c>
      <c r="I57" s="10">
        <v>500</v>
      </c>
      <c r="J57" s="13">
        <f t="shared" si="20"/>
        <v>295.2</v>
      </c>
      <c r="K57" s="10">
        <v>630</v>
      </c>
      <c r="L57" s="13">
        <f t="shared" si="21"/>
        <v>682.03800000000001</v>
      </c>
      <c r="M57" s="10"/>
      <c r="N57" s="13">
        <f t="shared" si="22"/>
        <v>0</v>
      </c>
      <c r="O57" s="10"/>
      <c r="P57" s="13">
        <f t="shared" si="23"/>
        <v>0</v>
      </c>
      <c r="Q57" s="10">
        <v>0</v>
      </c>
      <c r="R57" s="13">
        <f t="shared" si="24"/>
        <v>0</v>
      </c>
      <c r="S57" s="13">
        <f t="shared" si="25"/>
        <v>977.23800000000006</v>
      </c>
      <c r="T57" s="116"/>
      <c r="U57" s="36"/>
    </row>
    <row r="58" spans="1:21" s="14" customFormat="1" x14ac:dyDescent="0.25">
      <c r="A58" s="7">
        <v>15</v>
      </c>
      <c r="B58" s="8">
        <v>390220</v>
      </c>
      <c r="C58" s="12" t="s">
        <v>100</v>
      </c>
      <c r="D58" s="75"/>
      <c r="E58" s="10">
        <v>0</v>
      </c>
      <c r="F58" s="13">
        <f t="shared" si="18"/>
        <v>0</v>
      </c>
      <c r="G58" s="10">
        <v>0</v>
      </c>
      <c r="H58" s="13">
        <f t="shared" si="19"/>
        <v>0</v>
      </c>
      <c r="I58" s="10">
        <v>2500</v>
      </c>
      <c r="J58" s="13">
        <f t="shared" si="20"/>
        <v>1476</v>
      </c>
      <c r="K58" s="10">
        <v>1000</v>
      </c>
      <c r="L58" s="13">
        <f t="shared" si="21"/>
        <v>1082.5999999999999</v>
      </c>
      <c r="M58" s="10"/>
      <c r="N58" s="13">
        <f t="shared" si="22"/>
        <v>0</v>
      </c>
      <c r="O58" s="10"/>
      <c r="P58" s="13">
        <f t="shared" si="23"/>
        <v>0</v>
      </c>
      <c r="Q58" s="10">
        <v>0</v>
      </c>
      <c r="R58" s="13">
        <f t="shared" si="24"/>
        <v>0</v>
      </c>
      <c r="S58" s="13">
        <f t="shared" si="25"/>
        <v>2558.6</v>
      </c>
      <c r="T58" s="116"/>
      <c r="U58" s="36"/>
    </row>
    <row r="59" spans="1:21" s="14" customFormat="1" x14ac:dyDescent="0.25">
      <c r="A59" s="7">
        <v>16</v>
      </c>
      <c r="B59" s="8">
        <v>390230</v>
      </c>
      <c r="C59" s="12" t="s">
        <v>23</v>
      </c>
      <c r="D59" s="75"/>
      <c r="E59" s="10">
        <v>2200</v>
      </c>
      <c r="F59" s="13">
        <f t="shared" si="18"/>
        <v>6432.14</v>
      </c>
      <c r="G59" s="10">
        <v>0</v>
      </c>
      <c r="H59" s="13">
        <f t="shared" si="19"/>
        <v>0</v>
      </c>
      <c r="I59" s="10">
        <v>1500</v>
      </c>
      <c r="J59" s="13">
        <f t="shared" si="20"/>
        <v>885.6</v>
      </c>
      <c r="K59" s="10">
        <v>450</v>
      </c>
      <c r="L59" s="13">
        <f t="shared" si="21"/>
        <v>487.17</v>
      </c>
      <c r="M59" s="10"/>
      <c r="N59" s="13">
        <f t="shared" si="22"/>
        <v>0</v>
      </c>
      <c r="O59" s="10"/>
      <c r="P59" s="13">
        <f t="shared" si="23"/>
        <v>0</v>
      </c>
      <c r="Q59" s="10">
        <v>0</v>
      </c>
      <c r="R59" s="13">
        <f t="shared" si="24"/>
        <v>0</v>
      </c>
      <c r="S59" s="13">
        <f t="shared" si="25"/>
        <v>7804.9100000000008</v>
      </c>
      <c r="T59" s="116"/>
      <c r="U59" s="36"/>
    </row>
    <row r="60" spans="1:21" s="14" customFormat="1" x14ac:dyDescent="0.25">
      <c r="A60" s="7">
        <v>17</v>
      </c>
      <c r="B60" s="8">
        <v>390240</v>
      </c>
      <c r="C60" s="12" t="s">
        <v>24</v>
      </c>
      <c r="D60" s="75"/>
      <c r="E60" s="10">
        <v>1700</v>
      </c>
      <c r="F60" s="13">
        <f t="shared" si="18"/>
        <v>4970.29</v>
      </c>
      <c r="G60" s="10">
        <v>0</v>
      </c>
      <c r="H60" s="13">
        <f t="shared" si="19"/>
        <v>0</v>
      </c>
      <c r="I60" s="10">
        <v>2300</v>
      </c>
      <c r="J60" s="13">
        <f t="shared" si="20"/>
        <v>1357.92</v>
      </c>
      <c r="K60" s="10">
        <v>1000</v>
      </c>
      <c r="L60" s="13">
        <f t="shared" si="21"/>
        <v>1082.5999999999999</v>
      </c>
      <c r="M60" s="10"/>
      <c r="N60" s="13">
        <f t="shared" si="22"/>
        <v>0</v>
      </c>
      <c r="O60" s="10"/>
      <c r="P60" s="13">
        <f t="shared" si="23"/>
        <v>0</v>
      </c>
      <c r="Q60" s="10">
        <v>0</v>
      </c>
      <c r="R60" s="13">
        <f t="shared" si="24"/>
        <v>0</v>
      </c>
      <c r="S60" s="13">
        <f t="shared" si="25"/>
        <v>7410.8099999999995</v>
      </c>
      <c r="T60" s="116"/>
      <c r="U60" s="36"/>
    </row>
    <row r="61" spans="1:21" s="14" customFormat="1" x14ac:dyDescent="0.25">
      <c r="A61" s="7">
        <v>18</v>
      </c>
      <c r="B61" s="8">
        <v>390290</v>
      </c>
      <c r="C61" s="12" t="s">
        <v>25</v>
      </c>
      <c r="D61" s="75"/>
      <c r="E61" s="10">
        <v>0</v>
      </c>
      <c r="F61" s="13">
        <f t="shared" si="18"/>
        <v>0</v>
      </c>
      <c r="G61" s="10">
        <v>0</v>
      </c>
      <c r="H61" s="13">
        <f t="shared" si="19"/>
        <v>0</v>
      </c>
      <c r="I61" s="10">
        <v>565</v>
      </c>
      <c r="J61" s="13">
        <f t="shared" si="20"/>
        <v>333.57600000000002</v>
      </c>
      <c r="K61" s="10">
        <v>400</v>
      </c>
      <c r="L61" s="13">
        <f t="shared" si="21"/>
        <v>433.04</v>
      </c>
      <c r="M61" s="10"/>
      <c r="N61" s="13">
        <f t="shared" si="22"/>
        <v>0</v>
      </c>
      <c r="O61" s="10"/>
      <c r="P61" s="13">
        <f t="shared" si="23"/>
        <v>0</v>
      </c>
      <c r="Q61" s="10">
        <v>0</v>
      </c>
      <c r="R61" s="13">
        <f t="shared" si="24"/>
        <v>0</v>
      </c>
      <c r="S61" s="13">
        <f t="shared" si="25"/>
        <v>766.61599999999999</v>
      </c>
      <c r="T61" s="116"/>
      <c r="U61" s="36"/>
    </row>
    <row r="62" spans="1:21" s="14" customFormat="1" x14ac:dyDescent="0.25">
      <c r="A62" s="7">
        <v>19</v>
      </c>
      <c r="B62" s="8">
        <v>390370</v>
      </c>
      <c r="C62" s="12" t="s">
        <v>27</v>
      </c>
      <c r="D62" s="75"/>
      <c r="E62" s="10">
        <v>0</v>
      </c>
      <c r="F62" s="13">
        <f t="shared" si="18"/>
        <v>0</v>
      </c>
      <c r="G62" s="10">
        <v>0</v>
      </c>
      <c r="H62" s="13">
        <f t="shared" si="19"/>
        <v>0</v>
      </c>
      <c r="I62" s="10"/>
      <c r="J62" s="13">
        <f t="shared" si="20"/>
        <v>0</v>
      </c>
      <c r="K62" s="10">
        <v>200</v>
      </c>
      <c r="L62" s="13">
        <f t="shared" si="21"/>
        <v>216.52</v>
      </c>
      <c r="M62" s="10"/>
      <c r="N62" s="13">
        <f t="shared" si="22"/>
        <v>0</v>
      </c>
      <c r="O62" s="10"/>
      <c r="P62" s="13">
        <f t="shared" si="23"/>
        <v>0</v>
      </c>
      <c r="Q62" s="10">
        <v>0</v>
      </c>
      <c r="R62" s="13">
        <f t="shared" si="24"/>
        <v>0</v>
      </c>
      <c r="S62" s="13">
        <f t="shared" si="25"/>
        <v>216.52</v>
      </c>
      <c r="T62" s="116"/>
      <c r="U62" s="36"/>
    </row>
    <row r="63" spans="1:21" s="14" customFormat="1" x14ac:dyDescent="0.25">
      <c r="A63" s="7">
        <v>20</v>
      </c>
      <c r="B63" s="8">
        <v>390260</v>
      </c>
      <c r="C63" s="12" t="s">
        <v>29</v>
      </c>
      <c r="D63" s="75"/>
      <c r="E63" s="10">
        <v>0</v>
      </c>
      <c r="F63" s="13">
        <f t="shared" si="18"/>
        <v>0</v>
      </c>
      <c r="G63" s="10">
        <v>0</v>
      </c>
      <c r="H63" s="13">
        <f t="shared" si="19"/>
        <v>0</v>
      </c>
      <c r="I63" s="10"/>
      <c r="J63" s="13">
        <f t="shared" si="20"/>
        <v>0</v>
      </c>
      <c r="K63" s="10">
        <v>0</v>
      </c>
      <c r="L63" s="13">
        <f t="shared" si="21"/>
        <v>0</v>
      </c>
      <c r="M63" s="10"/>
      <c r="N63" s="13">
        <f t="shared" si="22"/>
        <v>0</v>
      </c>
      <c r="O63" s="10"/>
      <c r="P63" s="13">
        <f t="shared" si="23"/>
        <v>0</v>
      </c>
      <c r="Q63" s="10">
        <v>0</v>
      </c>
      <c r="R63" s="13">
        <f t="shared" si="24"/>
        <v>0</v>
      </c>
      <c r="S63" s="13">
        <f t="shared" si="25"/>
        <v>0</v>
      </c>
      <c r="T63" s="116"/>
      <c r="U63" s="36"/>
    </row>
    <row r="64" spans="1:21" s="14" customFormat="1" x14ac:dyDescent="0.25">
      <c r="A64" s="7">
        <v>21</v>
      </c>
      <c r="B64" s="15">
        <v>390480</v>
      </c>
      <c r="C64" s="17" t="s">
        <v>28</v>
      </c>
      <c r="D64" s="87"/>
      <c r="E64" s="10">
        <v>1700</v>
      </c>
      <c r="F64" s="13">
        <f t="shared" si="18"/>
        <v>4970.29</v>
      </c>
      <c r="G64" s="10">
        <v>700</v>
      </c>
      <c r="H64" s="13">
        <f t="shared" si="19"/>
        <v>2794.54</v>
      </c>
      <c r="I64" s="10">
        <v>2350</v>
      </c>
      <c r="J64" s="13">
        <f t="shared" si="20"/>
        <v>1387.44</v>
      </c>
      <c r="K64" s="10">
        <v>1000</v>
      </c>
      <c r="L64" s="13">
        <f t="shared" si="21"/>
        <v>1082.5999999999999</v>
      </c>
      <c r="M64" s="10"/>
      <c r="N64" s="13">
        <f t="shared" si="22"/>
        <v>0</v>
      </c>
      <c r="O64" s="10"/>
      <c r="P64" s="13">
        <f t="shared" si="23"/>
        <v>0</v>
      </c>
      <c r="Q64" s="10">
        <v>0</v>
      </c>
      <c r="R64" s="13">
        <f t="shared" si="24"/>
        <v>0</v>
      </c>
      <c r="S64" s="13">
        <f t="shared" si="25"/>
        <v>10234.870000000001</v>
      </c>
      <c r="T64" s="116"/>
      <c r="U64" s="36"/>
    </row>
    <row r="65" spans="1:21" s="14" customFormat="1" x14ac:dyDescent="0.25">
      <c r="A65" s="7">
        <v>22</v>
      </c>
      <c r="B65" s="15">
        <v>390250</v>
      </c>
      <c r="C65" s="16" t="s">
        <v>30</v>
      </c>
      <c r="D65" s="75"/>
      <c r="E65" s="10">
        <v>0</v>
      </c>
      <c r="F65" s="13">
        <f t="shared" si="18"/>
        <v>0</v>
      </c>
      <c r="G65" s="10">
        <v>0</v>
      </c>
      <c r="H65" s="13">
        <f t="shared" si="19"/>
        <v>0</v>
      </c>
      <c r="I65" s="10"/>
      <c r="J65" s="13">
        <f t="shared" si="20"/>
        <v>0</v>
      </c>
      <c r="K65" s="10">
        <v>50</v>
      </c>
      <c r="L65" s="13">
        <f t="shared" si="21"/>
        <v>54.13</v>
      </c>
      <c r="M65" s="10"/>
      <c r="N65" s="13">
        <f t="shared" si="22"/>
        <v>0</v>
      </c>
      <c r="O65" s="10"/>
      <c r="P65" s="13">
        <f t="shared" si="23"/>
        <v>0</v>
      </c>
      <c r="Q65" s="10">
        <v>0</v>
      </c>
      <c r="R65" s="13">
        <f t="shared" si="24"/>
        <v>0</v>
      </c>
      <c r="S65" s="13">
        <f t="shared" si="25"/>
        <v>54.13</v>
      </c>
      <c r="T65" s="116"/>
      <c r="U65" s="36"/>
    </row>
    <row r="66" spans="1:21" s="14" customFormat="1" x14ac:dyDescent="0.25">
      <c r="A66" s="7">
        <v>23</v>
      </c>
      <c r="B66" s="15">
        <v>390300</v>
      </c>
      <c r="C66" s="16" t="s">
        <v>31</v>
      </c>
      <c r="D66" s="75"/>
      <c r="E66" s="10">
        <v>0</v>
      </c>
      <c r="F66" s="13">
        <f t="shared" si="18"/>
        <v>0</v>
      </c>
      <c r="G66" s="10">
        <v>0</v>
      </c>
      <c r="H66" s="13">
        <f t="shared" si="19"/>
        <v>0</v>
      </c>
      <c r="I66" s="10">
        <v>1000</v>
      </c>
      <c r="J66" s="13">
        <f t="shared" si="20"/>
        <v>590.4</v>
      </c>
      <c r="K66" s="10">
        <v>400</v>
      </c>
      <c r="L66" s="13">
        <f t="shared" si="21"/>
        <v>433.04</v>
      </c>
      <c r="M66" s="10"/>
      <c r="N66" s="13">
        <f t="shared" si="22"/>
        <v>0</v>
      </c>
      <c r="O66" s="10"/>
      <c r="P66" s="13">
        <f t="shared" si="23"/>
        <v>0</v>
      </c>
      <c r="Q66" s="10">
        <v>0</v>
      </c>
      <c r="R66" s="13">
        <f t="shared" si="24"/>
        <v>0</v>
      </c>
      <c r="S66" s="13">
        <f t="shared" si="25"/>
        <v>1023.44</v>
      </c>
      <c r="T66" s="116"/>
      <c r="U66" s="36"/>
    </row>
    <row r="67" spans="1:21" s="14" customFormat="1" x14ac:dyDescent="0.25">
      <c r="A67" s="7">
        <v>24</v>
      </c>
      <c r="B67" s="15">
        <v>390310</v>
      </c>
      <c r="C67" s="16" t="s">
        <v>32</v>
      </c>
      <c r="D67" s="75"/>
      <c r="E67" s="10">
        <v>0</v>
      </c>
      <c r="F67" s="13">
        <f t="shared" si="18"/>
        <v>0</v>
      </c>
      <c r="G67" s="10">
        <v>0</v>
      </c>
      <c r="H67" s="13">
        <f t="shared" si="19"/>
        <v>0</v>
      </c>
      <c r="I67" s="10">
        <v>200</v>
      </c>
      <c r="J67" s="13">
        <f t="shared" si="20"/>
        <v>118.08</v>
      </c>
      <c r="K67" s="10">
        <v>230</v>
      </c>
      <c r="L67" s="13">
        <f t="shared" si="21"/>
        <v>248.99799999999999</v>
      </c>
      <c r="M67" s="10"/>
      <c r="N67" s="13">
        <f t="shared" si="22"/>
        <v>0</v>
      </c>
      <c r="O67" s="10"/>
      <c r="P67" s="13">
        <f t="shared" si="23"/>
        <v>0</v>
      </c>
      <c r="Q67" s="10">
        <v>0</v>
      </c>
      <c r="R67" s="13">
        <f t="shared" si="24"/>
        <v>0</v>
      </c>
      <c r="S67" s="13">
        <f t="shared" si="25"/>
        <v>367.07799999999997</v>
      </c>
      <c r="T67" s="116"/>
      <c r="U67" s="36"/>
    </row>
    <row r="68" spans="1:21" s="14" customFormat="1" x14ac:dyDescent="0.25">
      <c r="A68" s="7">
        <v>25</v>
      </c>
      <c r="B68" s="15">
        <v>390320</v>
      </c>
      <c r="C68" s="16" t="s">
        <v>33</v>
      </c>
      <c r="D68" s="75"/>
      <c r="E68" s="10">
        <v>0</v>
      </c>
      <c r="F68" s="13">
        <f t="shared" si="18"/>
        <v>0</v>
      </c>
      <c r="G68" s="10">
        <v>0</v>
      </c>
      <c r="H68" s="13">
        <f t="shared" si="19"/>
        <v>0</v>
      </c>
      <c r="I68" s="10">
        <v>1000</v>
      </c>
      <c r="J68" s="13">
        <f t="shared" si="20"/>
        <v>590.4</v>
      </c>
      <c r="K68" s="10">
        <v>500</v>
      </c>
      <c r="L68" s="13">
        <f t="shared" si="21"/>
        <v>541.29999999999995</v>
      </c>
      <c r="M68" s="10"/>
      <c r="N68" s="13">
        <f t="shared" si="22"/>
        <v>0</v>
      </c>
      <c r="O68" s="10"/>
      <c r="P68" s="13">
        <f t="shared" si="23"/>
        <v>0</v>
      </c>
      <c r="Q68" s="10">
        <v>0</v>
      </c>
      <c r="R68" s="13">
        <f t="shared" si="24"/>
        <v>0</v>
      </c>
      <c r="S68" s="13">
        <f t="shared" si="25"/>
        <v>1131.6999999999998</v>
      </c>
      <c r="T68" s="116"/>
      <c r="U68" s="36"/>
    </row>
    <row r="69" spans="1:21" s="14" customFormat="1" x14ac:dyDescent="0.25">
      <c r="A69" s="7">
        <v>26</v>
      </c>
      <c r="B69" s="15">
        <v>390180</v>
      </c>
      <c r="C69" s="16" t="s">
        <v>102</v>
      </c>
      <c r="D69" s="75"/>
      <c r="E69" s="10">
        <v>0</v>
      </c>
      <c r="F69" s="13">
        <f t="shared" si="18"/>
        <v>0</v>
      </c>
      <c r="G69" s="10">
        <v>0</v>
      </c>
      <c r="H69" s="13">
        <f t="shared" si="19"/>
        <v>0</v>
      </c>
      <c r="I69" s="10">
        <v>1200</v>
      </c>
      <c r="J69" s="13">
        <f t="shared" si="20"/>
        <v>708.48</v>
      </c>
      <c r="K69" s="10">
        <v>550</v>
      </c>
      <c r="L69" s="13">
        <f t="shared" si="21"/>
        <v>595.42999999999995</v>
      </c>
      <c r="M69" s="10"/>
      <c r="N69" s="13">
        <f t="shared" si="22"/>
        <v>0</v>
      </c>
      <c r="O69" s="10"/>
      <c r="P69" s="13">
        <f t="shared" si="23"/>
        <v>0</v>
      </c>
      <c r="Q69" s="10">
        <v>0</v>
      </c>
      <c r="R69" s="13">
        <f t="shared" si="24"/>
        <v>0</v>
      </c>
      <c r="S69" s="13">
        <f t="shared" si="25"/>
        <v>1303.9099999999999</v>
      </c>
      <c r="T69" s="116"/>
      <c r="U69" s="36"/>
    </row>
    <row r="70" spans="1:21" s="14" customFormat="1" x14ac:dyDescent="0.25">
      <c r="A70" s="7">
        <v>27</v>
      </c>
      <c r="B70" s="15">
        <v>390270</v>
      </c>
      <c r="C70" s="16" t="s">
        <v>34</v>
      </c>
      <c r="D70" s="75"/>
      <c r="E70" s="10">
        <v>0</v>
      </c>
      <c r="F70" s="13">
        <f t="shared" si="18"/>
        <v>0</v>
      </c>
      <c r="G70" s="10">
        <v>0</v>
      </c>
      <c r="H70" s="13">
        <f t="shared" si="19"/>
        <v>0</v>
      </c>
      <c r="I70" s="10">
        <v>1600</v>
      </c>
      <c r="J70" s="13">
        <f t="shared" si="20"/>
        <v>944.64</v>
      </c>
      <c r="K70" s="10">
        <v>400</v>
      </c>
      <c r="L70" s="13">
        <f t="shared" si="21"/>
        <v>433.04</v>
      </c>
      <c r="M70" s="10"/>
      <c r="N70" s="13">
        <f t="shared" si="22"/>
        <v>0</v>
      </c>
      <c r="O70" s="10"/>
      <c r="P70" s="13">
        <f t="shared" si="23"/>
        <v>0</v>
      </c>
      <c r="Q70" s="10">
        <v>0</v>
      </c>
      <c r="R70" s="13">
        <f t="shared" si="24"/>
        <v>0</v>
      </c>
      <c r="S70" s="13">
        <f t="shared" si="25"/>
        <v>1377.68</v>
      </c>
      <c r="T70" s="116"/>
      <c r="U70" s="36"/>
    </row>
    <row r="71" spans="1:21" s="14" customFormat="1" x14ac:dyDescent="0.25">
      <c r="A71" s="7">
        <v>28</v>
      </c>
      <c r="B71" s="15">
        <v>390190</v>
      </c>
      <c r="C71" s="16" t="s">
        <v>35</v>
      </c>
      <c r="D71" s="75"/>
      <c r="E71" s="10">
        <v>1700</v>
      </c>
      <c r="F71" s="13">
        <f t="shared" si="18"/>
        <v>4970.29</v>
      </c>
      <c r="G71" s="10">
        <v>0</v>
      </c>
      <c r="H71" s="13">
        <f t="shared" si="19"/>
        <v>0</v>
      </c>
      <c r="I71" s="10">
        <v>6500</v>
      </c>
      <c r="J71" s="13">
        <f t="shared" si="20"/>
        <v>3837.6</v>
      </c>
      <c r="K71" s="10">
        <v>1800</v>
      </c>
      <c r="L71" s="13">
        <f t="shared" si="21"/>
        <v>1948.68</v>
      </c>
      <c r="M71" s="10"/>
      <c r="N71" s="13">
        <f t="shared" si="22"/>
        <v>0</v>
      </c>
      <c r="O71" s="10"/>
      <c r="P71" s="13">
        <f t="shared" si="23"/>
        <v>0</v>
      </c>
      <c r="Q71" s="10">
        <v>0</v>
      </c>
      <c r="R71" s="13">
        <f t="shared" si="24"/>
        <v>0</v>
      </c>
      <c r="S71" s="13">
        <f t="shared" si="25"/>
        <v>10756.57</v>
      </c>
      <c r="T71" s="116"/>
      <c r="U71" s="36"/>
    </row>
    <row r="72" spans="1:21" s="14" customFormat="1" x14ac:dyDescent="0.25">
      <c r="A72" s="7">
        <v>29</v>
      </c>
      <c r="B72" s="15">
        <v>390280</v>
      </c>
      <c r="C72" s="16" t="s">
        <v>36</v>
      </c>
      <c r="D72" s="75"/>
      <c r="E72" s="10"/>
      <c r="F72" s="13">
        <f t="shared" si="18"/>
        <v>0</v>
      </c>
      <c r="G72" s="10">
        <v>0</v>
      </c>
      <c r="H72" s="13">
        <f t="shared" si="19"/>
        <v>0</v>
      </c>
      <c r="I72" s="10">
        <v>6494</v>
      </c>
      <c r="J72" s="13">
        <f t="shared" si="20"/>
        <v>3834.0576000000001</v>
      </c>
      <c r="K72" s="10">
        <v>700</v>
      </c>
      <c r="L72" s="13">
        <f t="shared" si="21"/>
        <v>757.82</v>
      </c>
      <c r="M72" s="10"/>
      <c r="N72" s="13">
        <f t="shared" si="22"/>
        <v>0</v>
      </c>
      <c r="O72" s="10"/>
      <c r="P72" s="13">
        <f t="shared" si="23"/>
        <v>0</v>
      </c>
      <c r="Q72" s="10">
        <v>0</v>
      </c>
      <c r="R72" s="13">
        <f t="shared" si="24"/>
        <v>0</v>
      </c>
      <c r="S72" s="13">
        <f t="shared" si="25"/>
        <v>4591.8775999999998</v>
      </c>
      <c r="T72" s="116"/>
      <c r="U72" s="36"/>
    </row>
    <row r="73" spans="1:21" s="14" customFormat="1" ht="31.5" x14ac:dyDescent="0.25">
      <c r="A73" s="7">
        <v>30</v>
      </c>
      <c r="B73" s="8">
        <v>391000</v>
      </c>
      <c r="C73" s="16" t="s">
        <v>109</v>
      </c>
      <c r="D73" s="75"/>
      <c r="E73" s="10">
        <v>100</v>
      </c>
      <c r="F73" s="13">
        <f t="shared" si="18"/>
        <v>292.37</v>
      </c>
      <c r="G73" s="10">
        <v>0</v>
      </c>
      <c r="H73" s="13">
        <f t="shared" si="19"/>
        <v>0</v>
      </c>
      <c r="I73" s="10"/>
      <c r="J73" s="13">
        <f t="shared" si="20"/>
        <v>0</v>
      </c>
      <c r="K73" s="10">
        <v>0</v>
      </c>
      <c r="L73" s="13">
        <f t="shared" si="21"/>
        <v>0</v>
      </c>
      <c r="M73" s="10"/>
      <c r="N73" s="13">
        <f t="shared" si="22"/>
        <v>0</v>
      </c>
      <c r="O73" s="10"/>
      <c r="P73" s="13">
        <f t="shared" si="23"/>
        <v>0</v>
      </c>
      <c r="Q73" s="10">
        <v>0</v>
      </c>
      <c r="R73" s="13">
        <f t="shared" si="24"/>
        <v>0</v>
      </c>
      <c r="S73" s="13">
        <f t="shared" si="25"/>
        <v>292.37</v>
      </c>
      <c r="T73" s="116"/>
      <c r="U73" s="36"/>
    </row>
    <row r="74" spans="1:21" s="14" customFormat="1" ht="31.5" x14ac:dyDescent="0.25">
      <c r="A74" s="7">
        <v>31</v>
      </c>
      <c r="B74" s="15">
        <v>391610</v>
      </c>
      <c r="C74" s="35" t="s">
        <v>48</v>
      </c>
      <c r="D74" s="86"/>
      <c r="E74" s="10">
        <v>3000</v>
      </c>
      <c r="F74" s="13">
        <f t="shared" si="18"/>
        <v>8771.1</v>
      </c>
      <c r="G74" s="10">
        <v>1834</v>
      </c>
      <c r="H74" s="13">
        <f t="shared" si="19"/>
        <v>7321.6948000000002</v>
      </c>
      <c r="I74" s="10">
        <v>6000</v>
      </c>
      <c r="J74" s="13">
        <f t="shared" si="20"/>
        <v>3542.4</v>
      </c>
      <c r="K74" s="10">
        <v>300</v>
      </c>
      <c r="L74" s="13">
        <f t="shared" si="21"/>
        <v>324.77999999999997</v>
      </c>
      <c r="M74" s="10"/>
      <c r="N74" s="13">
        <f t="shared" si="22"/>
        <v>0</v>
      </c>
      <c r="O74" s="10"/>
      <c r="P74" s="13">
        <f t="shared" si="23"/>
        <v>0</v>
      </c>
      <c r="Q74" s="10">
        <v>0</v>
      </c>
      <c r="R74" s="13">
        <f t="shared" si="24"/>
        <v>0</v>
      </c>
      <c r="S74" s="13">
        <f t="shared" si="25"/>
        <v>19959.9748</v>
      </c>
      <c r="T74" s="116"/>
      <c r="U74" s="36"/>
    </row>
    <row r="75" spans="1:21" s="14" customFormat="1" x14ac:dyDescent="0.25">
      <c r="A75" s="7">
        <v>32</v>
      </c>
      <c r="B75" s="15">
        <v>390600</v>
      </c>
      <c r="C75" s="17" t="s">
        <v>104</v>
      </c>
      <c r="D75" s="87"/>
      <c r="E75" s="10">
        <v>30</v>
      </c>
      <c r="F75" s="13">
        <f t="shared" si="18"/>
        <v>87.710999999999999</v>
      </c>
      <c r="G75" s="10">
        <v>0</v>
      </c>
      <c r="H75" s="13">
        <f t="shared" si="19"/>
        <v>0</v>
      </c>
      <c r="I75" s="10">
        <v>838</v>
      </c>
      <c r="J75" s="13">
        <f t="shared" si="20"/>
        <v>494.7552</v>
      </c>
      <c r="K75" s="10">
        <v>200</v>
      </c>
      <c r="L75" s="13">
        <f t="shared" si="21"/>
        <v>216.52</v>
      </c>
      <c r="M75" s="10">
        <v>3</v>
      </c>
      <c r="N75" s="13">
        <f t="shared" si="22"/>
        <v>27.2742</v>
      </c>
      <c r="O75" s="10">
        <v>100</v>
      </c>
      <c r="P75" s="13">
        <f t="shared" si="23"/>
        <v>224.21</v>
      </c>
      <c r="Q75" s="10">
        <v>100</v>
      </c>
      <c r="R75" s="13">
        <f t="shared" si="24"/>
        <v>43.4</v>
      </c>
      <c r="S75" s="13">
        <f t="shared" si="25"/>
        <v>1093.8704</v>
      </c>
      <c r="T75" s="116"/>
      <c r="U75" s="36"/>
    </row>
    <row r="76" spans="1:21" s="14" customFormat="1" x14ac:dyDescent="0.25">
      <c r="A76" s="7">
        <v>33</v>
      </c>
      <c r="B76" s="15">
        <v>390340</v>
      </c>
      <c r="C76" s="17" t="s">
        <v>38</v>
      </c>
      <c r="D76" s="87"/>
      <c r="E76" s="10">
        <v>1300</v>
      </c>
      <c r="F76" s="13">
        <f t="shared" si="18"/>
        <v>3800.81</v>
      </c>
      <c r="G76" s="10">
        <v>0</v>
      </c>
      <c r="H76" s="13">
        <f t="shared" si="19"/>
        <v>0</v>
      </c>
      <c r="I76" s="10">
        <v>5445</v>
      </c>
      <c r="J76" s="13">
        <f t="shared" si="20"/>
        <v>3214.7280000000001</v>
      </c>
      <c r="K76" s="10">
        <v>900</v>
      </c>
      <c r="L76" s="13">
        <f t="shared" si="21"/>
        <v>974.34</v>
      </c>
      <c r="M76" s="10"/>
      <c r="N76" s="13">
        <f t="shared" si="22"/>
        <v>0</v>
      </c>
      <c r="O76" s="10"/>
      <c r="P76" s="13">
        <f t="shared" si="23"/>
        <v>0</v>
      </c>
      <c r="Q76" s="10">
        <v>0</v>
      </c>
      <c r="R76" s="13">
        <f t="shared" si="24"/>
        <v>0</v>
      </c>
      <c r="S76" s="13">
        <f t="shared" si="25"/>
        <v>7989.8780000000006</v>
      </c>
      <c r="T76" s="116"/>
      <c r="U76" s="36"/>
    </row>
    <row r="77" spans="1:21" s="14" customFormat="1" ht="31.5" x14ac:dyDescent="0.25">
      <c r="A77" s="7">
        <v>34</v>
      </c>
      <c r="B77" s="15">
        <v>391930</v>
      </c>
      <c r="C77" s="35" t="s">
        <v>49</v>
      </c>
      <c r="D77" s="86"/>
      <c r="E77" s="10">
        <v>0</v>
      </c>
      <c r="F77" s="13">
        <f t="shared" si="18"/>
        <v>0</v>
      </c>
      <c r="G77" s="10">
        <v>0</v>
      </c>
      <c r="H77" s="13">
        <f t="shared" si="19"/>
        <v>0</v>
      </c>
      <c r="I77" s="10"/>
      <c r="J77" s="13">
        <f t="shared" si="20"/>
        <v>0</v>
      </c>
      <c r="K77" s="10">
        <v>0</v>
      </c>
      <c r="L77" s="13">
        <f t="shared" si="21"/>
        <v>0</v>
      </c>
      <c r="M77" s="10">
        <v>300</v>
      </c>
      <c r="N77" s="13">
        <f t="shared" si="22"/>
        <v>2727.42</v>
      </c>
      <c r="O77" s="10"/>
      <c r="P77" s="13">
        <f t="shared" si="23"/>
        <v>0</v>
      </c>
      <c r="Q77" s="10">
        <v>0</v>
      </c>
      <c r="R77" s="13">
        <f t="shared" si="24"/>
        <v>0</v>
      </c>
      <c r="S77" s="13">
        <f t="shared" si="25"/>
        <v>2727.42</v>
      </c>
      <c r="T77" s="116"/>
      <c r="U77" s="36"/>
    </row>
    <row r="78" spans="1:21" s="14" customFormat="1" x14ac:dyDescent="0.25">
      <c r="A78" s="7">
        <v>35</v>
      </c>
      <c r="B78" s="15">
        <v>391970</v>
      </c>
      <c r="C78" s="35" t="s">
        <v>50</v>
      </c>
      <c r="D78" s="86"/>
      <c r="E78" s="10">
        <v>300</v>
      </c>
      <c r="F78" s="13">
        <f t="shared" si="18"/>
        <v>877.11</v>
      </c>
      <c r="G78" s="10">
        <v>300</v>
      </c>
      <c r="H78" s="13">
        <f t="shared" si="19"/>
        <v>1197.6600000000001</v>
      </c>
      <c r="I78" s="10"/>
      <c r="J78" s="13">
        <f t="shared" si="20"/>
        <v>0</v>
      </c>
      <c r="K78" s="10">
        <v>0</v>
      </c>
      <c r="L78" s="13">
        <f t="shared" si="21"/>
        <v>0</v>
      </c>
      <c r="M78" s="10"/>
      <c r="N78" s="13">
        <f t="shared" si="22"/>
        <v>0</v>
      </c>
      <c r="O78" s="10"/>
      <c r="P78" s="13">
        <f t="shared" si="23"/>
        <v>0</v>
      </c>
      <c r="Q78" s="10">
        <v>0</v>
      </c>
      <c r="R78" s="13">
        <f t="shared" si="24"/>
        <v>0</v>
      </c>
      <c r="S78" s="13">
        <f t="shared" si="25"/>
        <v>2074.77</v>
      </c>
      <c r="T78" s="116"/>
      <c r="U78" s="36"/>
    </row>
    <row r="79" spans="1:21" s="14" customFormat="1" x14ac:dyDescent="0.25">
      <c r="A79" s="7">
        <v>36</v>
      </c>
      <c r="B79" s="15">
        <v>391492</v>
      </c>
      <c r="C79" s="35" t="s">
        <v>93</v>
      </c>
      <c r="D79" s="86"/>
      <c r="E79" s="10">
        <v>0</v>
      </c>
      <c r="F79" s="13">
        <f t="shared" si="18"/>
        <v>0</v>
      </c>
      <c r="G79" s="10">
        <v>0</v>
      </c>
      <c r="H79" s="13">
        <f t="shared" si="19"/>
        <v>0</v>
      </c>
      <c r="I79" s="10">
        <v>2000</v>
      </c>
      <c r="J79" s="13">
        <f t="shared" si="20"/>
        <v>1180.8</v>
      </c>
      <c r="K79" s="10">
        <v>0</v>
      </c>
      <c r="L79" s="13">
        <f t="shared" si="21"/>
        <v>0</v>
      </c>
      <c r="M79" s="10"/>
      <c r="N79" s="13">
        <f t="shared" si="22"/>
        <v>0</v>
      </c>
      <c r="O79" s="10"/>
      <c r="P79" s="13">
        <f t="shared" si="23"/>
        <v>0</v>
      </c>
      <c r="Q79" s="10">
        <v>0</v>
      </c>
      <c r="R79" s="13">
        <f t="shared" si="24"/>
        <v>0</v>
      </c>
      <c r="S79" s="13">
        <f t="shared" si="25"/>
        <v>1180.8</v>
      </c>
      <c r="T79" s="116"/>
      <c r="U79" s="36"/>
    </row>
    <row r="80" spans="1:21" s="14" customFormat="1" ht="31.5" x14ac:dyDescent="0.25">
      <c r="A80" s="7">
        <v>37</v>
      </c>
      <c r="B80" s="34">
        <v>391370</v>
      </c>
      <c r="C80" s="35" t="s">
        <v>51</v>
      </c>
      <c r="D80" s="86"/>
      <c r="E80" s="10">
        <v>0</v>
      </c>
      <c r="F80" s="13">
        <f t="shared" si="18"/>
        <v>0</v>
      </c>
      <c r="G80" s="126">
        <v>400</v>
      </c>
      <c r="H80" s="13">
        <f t="shared" si="19"/>
        <v>1596.88</v>
      </c>
      <c r="I80" s="10"/>
      <c r="J80" s="13">
        <f t="shared" si="20"/>
        <v>0</v>
      </c>
      <c r="K80" s="10">
        <v>0</v>
      </c>
      <c r="L80" s="13">
        <f t="shared" si="21"/>
        <v>0</v>
      </c>
      <c r="M80" s="10"/>
      <c r="N80" s="13">
        <f t="shared" si="22"/>
        <v>0</v>
      </c>
      <c r="O80" s="10"/>
      <c r="P80" s="13">
        <f t="shared" si="23"/>
        <v>0</v>
      </c>
      <c r="Q80" s="10">
        <v>0</v>
      </c>
      <c r="R80" s="13">
        <f t="shared" si="24"/>
        <v>0</v>
      </c>
      <c r="S80" s="109">
        <f t="shared" si="25"/>
        <v>1596.88</v>
      </c>
      <c r="T80" s="116"/>
      <c r="U80" s="36"/>
    </row>
    <row r="81" spans="1:21" s="14" customFormat="1" ht="31.5" x14ac:dyDescent="0.25">
      <c r="A81" s="7">
        <v>38</v>
      </c>
      <c r="B81" s="34">
        <v>391400</v>
      </c>
      <c r="C81" s="35" t="s">
        <v>113</v>
      </c>
      <c r="D81" s="86"/>
      <c r="E81" s="10">
        <v>0</v>
      </c>
      <c r="F81" s="13">
        <f t="shared" si="18"/>
        <v>0</v>
      </c>
      <c r="G81" s="10">
        <v>0</v>
      </c>
      <c r="H81" s="13">
        <f t="shared" si="19"/>
        <v>0</v>
      </c>
      <c r="I81" s="10">
        <f>100+500</f>
        <v>600</v>
      </c>
      <c r="J81" s="13">
        <f t="shared" si="20"/>
        <v>354.24</v>
      </c>
      <c r="K81" s="10">
        <f>100+99</f>
        <v>199</v>
      </c>
      <c r="L81" s="13">
        <f t="shared" si="21"/>
        <v>215.4374</v>
      </c>
      <c r="M81" s="10">
        <v>0</v>
      </c>
      <c r="N81" s="13">
        <f t="shared" si="22"/>
        <v>0</v>
      </c>
      <c r="O81" s="10">
        <v>0</v>
      </c>
      <c r="P81" s="13">
        <f t="shared" si="23"/>
        <v>0</v>
      </c>
      <c r="Q81" s="10">
        <v>0</v>
      </c>
      <c r="R81" s="13">
        <f t="shared" si="24"/>
        <v>0</v>
      </c>
      <c r="S81" s="13">
        <f t="shared" si="25"/>
        <v>569.67740000000003</v>
      </c>
      <c r="T81" s="116"/>
      <c r="U81" s="36"/>
    </row>
    <row r="82" spans="1:21" s="14" customFormat="1" ht="31.5" x14ac:dyDescent="0.25">
      <c r="A82" s="7">
        <v>39</v>
      </c>
      <c r="B82" s="34">
        <v>392720</v>
      </c>
      <c r="C82" s="35" t="s">
        <v>52</v>
      </c>
      <c r="D82" s="86"/>
      <c r="E82" s="10">
        <v>0</v>
      </c>
      <c r="F82" s="13">
        <f t="shared" si="18"/>
        <v>0</v>
      </c>
      <c r="G82" s="10">
        <v>0</v>
      </c>
      <c r="H82" s="13">
        <f t="shared" si="19"/>
        <v>0</v>
      </c>
      <c r="I82" s="10"/>
      <c r="J82" s="13">
        <f t="shared" si="20"/>
        <v>0</v>
      </c>
      <c r="K82" s="10">
        <v>0</v>
      </c>
      <c r="L82" s="13">
        <f t="shared" si="21"/>
        <v>0</v>
      </c>
      <c r="M82" s="10">
        <v>100</v>
      </c>
      <c r="N82" s="13">
        <f t="shared" si="22"/>
        <v>909.14</v>
      </c>
      <c r="O82" s="10">
        <v>100</v>
      </c>
      <c r="P82" s="13">
        <f t="shared" si="23"/>
        <v>224.21</v>
      </c>
      <c r="Q82" s="10">
        <v>0</v>
      </c>
      <c r="R82" s="13">
        <f t="shared" si="24"/>
        <v>0</v>
      </c>
      <c r="S82" s="13">
        <f t="shared" si="25"/>
        <v>1133.3499999999999</v>
      </c>
      <c r="T82" s="116"/>
      <c r="U82" s="36"/>
    </row>
    <row r="83" spans="1:21" s="14" customFormat="1" ht="31.5" x14ac:dyDescent="0.25">
      <c r="A83" s="7">
        <v>40</v>
      </c>
      <c r="B83" s="7">
        <v>390002</v>
      </c>
      <c r="C83" s="35" t="s">
        <v>90</v>
      </c>
      <c r="D83" s="86"/>
      <c r="E83" s="10">
        <v>0</v>
      </c>
      <c r="F83" s="13">
        <f t="shared" si="18"/>
        <v>0</v>
      </c>
      <c r="G83" s="10">
        <v>0</v>
      </c>
      <c r="H83" s="13">
        <f t="shared" si="19"/>
        <v>0</v>
      </c>
      <c r="I83" s="10"/>
      <c r="J83" s="13">
        <f t="shared" si="20"/>
        <v>0</v>
      </c>
      <c r="K83" s="10">
        <v>5</v>
      </c>
      <c r="L83" s="13">
        <f t="shared" si="21"/>
        <v>5.4130000000000003</v>
      </c>
      <c r="M83" s="10"/>
      <c r="N83" s="13">
        <f t="shared" si="22"/>
        <v>0</v>
      </c>
      <c r="O83" s="10"/>
      <c r="P83" s="13">
        <f t="shared" si="23"/>
        <v>0</v>
      </c>
      <c r="Q83" s="10">
        <v>0</v>
      </c>
      <c r="R83" s="13">
        <f t="shared" si="24"/>
        <v>0</v>
      </c>
      <c r="S83" s="13">
        <f t="shared" si="25"/>
        <v>5.4130000000000003</v>
      </c>
      <c r="T83" s="116"/>
      <c r="U83" s="36"/>
    </row>
    <row r="84" spans="1:21" s="14" customFormat="1" x14ac:dyDescent="0.25">
      <c r="A84" s="7">
        <v>41</v>
      </c>
      <c r="B84" s="7">
        <v>390006</v>
      </c>
      <c r="C84" s="119" t="s">
        <v>110</v>
      </c>
      <c r="D84" s="86"/>
      <c r="E84" s="10"/>
      <c r="F84" s="13">
        <f t="shared" si="18"/>
        <v>0</v>
      </c>
      <c r="G84" s="10"/>
      <c r="H84" s="13">
        <f t="shared" si="19"/>
        <v>0</v>
      </c>
      <c r="I84" s="10"/>
      <c r="J84" s="13">
        <f t="shared" si="20"/>
        <v>0</v>
      </c>
      <c r="K84" s="10"/>
      <c r="L84" s="13">
        <f t="shared" si="21"/>
        <v>0</v>
      </c>
      <c r="M84" s="10"/>
      <c r="N84" s="13">
        <f t="shared" si="22"/>
        <v>0</v>
      </c>
      <c r="O84" s="10"/>
      <c r="P84" s="13">
        <f t="shared" si="23"/>
        <v>0</v>
      </c>
      <c r="Q84" s="10"/>
      <c r="R84" s="13">
        <f t="shared" si="24"/>
        <v>0</v>
      </c>
      <c r="S84" s="13">
        <f t="shared" si="25"/>
        <v>0</v>
      </c>
      <c r="T84" s="116"/>
      <c r="U84" s="36"/>
    </row>
    <row r="85" spans="1:21" s="14" customFormat="1" x14ac:dyDescent="0.25">
      <c r="A85" s="7">
        <v>42</v>
      </c>
      <c r="B85" s="7">
        <v>392120</v>
      </c>
      <c r="C85" s="119" t="s">
        <v>111</v>
      </c>
      <c r="D85" s="86"/>
      <c r="E85" s="10"/>
      <c r="F85" s="13">
        <f t="shared" si="18"/>
        <v>0</v>
      </c>
      <c r="G85" s="10"/>
      <c r="H85" s="13">
        <f t="shared" si="19"/>
        <v>0</v>
      </c>
      <c r="I85" s="10">
        <v>1</v>
      </c>
      <c r="J85" s="13">
        <f t="shared" si="20"/>
        <v>0.59040000000000004</v>
      </c>
      <c r="K85" s="10"/>
      <c r="L85" s="13">
        <f t="shared" si="21"/>
        <v>0</v>
      </c>
      <c r="M85" s="10"/>
      <c r="N85" s="13">
        <f t="shared" si="22"/>
        <v>0</v>
      </c>
      <c r="O85" s="10"/>
      <c r="P85" s="13">
        <f t="shared" si="23"/>
        <v>0</v>
      </c>
      <c r="Q85" s="10"/>
      <c r="R85" s="13">
        <f t="shared" si="24"/>
        <v>0</v>
      </c>
      <c r="S85" s="13">
        <f t="shared" si="25"/>
        <v>0.59040000000000004</v>
      </c>
      <c r="T85" s="116"/>
      <c r="U85" s="36"/>
    </row>
    <row r="86" spans="1:21" s="14" customFormat="1" x14ac:dyDescent="0.25">
      <c r="A86" s="7">
        <v>43</v>
      </c>
      <c r="B86" s="7">
        <v>390014</v>
      </c>
      <c r="C86" s="119" t="s">
        <v>112</v>
      </c>
      <c r="D86" s="86"/>
      <c r="E86" s="10"/>
      <c r="F86" s="13">
        <f t="shared" si="18"/>
        <v>0</v>
      </c>
      <c r="G86" s="10"/>
      <c r="H86" s="13">
        <f t="shared" si="19"/>
        <v>0</v>
      </c>
      <c r="I86" s="10">
        <v>5</v>
      </c>
      <c r="J86" s="13">
        <f t="shared" si="20"/>
        <v>2.952</v>
      </c>
      <c r="K86" s="10"/>
      <c r="L86" s="13">
        <f t="shared" si="21"/>
        <v>0</v>
      </c>
      <c r="M86" s="10"/>
      <c r="N86" s="13">
        <f t="shared" si="22"/>
        <v>0</v>
      </c>
      <c r="O86" s="10"/>
      <c r="P86" s="13">
        <f t="shared" si="23"/>
        <v>0</v>
      </c>
      <c r="Q86" s="10"/>
      <c r="R86" s="13">
        <f t="shared" si="24"/>
        <v>0</v>
      </c>
      <c r="S86" s="13">
        <f t="shared" si="25"/>
        <v>2.952</v>
      </c>
      <c r="T86" s="116"/>
      <c r="U86" s="36"/>
    </row>
    <row r="87" spans="1:21" s="14" customFormat="1" x14ac:dyDescent="0.25">
      <c r="A87" s="7">
        <v>44</v>
      </c>
      <c r="B87" s="7">
        <v>392830</v>
      </c>
      <c r="C87" s="35" t="s">
        <v>91</v>
      </c>
      <c r="D87" s="86"/>
      <c r="E87" s="10">
        <v>0</v>
      </c>
      <c r="F87" s="13">
        <f t="shared" si="18"/>
        <v>0</v>
      </c>
      <c r="G87" s="10">
        <v>0</v>
      </c>
      <c r="H87" s="13">
        <f t="shared" si="19"/>
        <v>0</v>
      </c>
      <c r="I87" s="10"/>
      <c r="J87" s="13">
        <f t="shared" si="20"/>
        <v>0</v>
      </c>
      <c r="K87" s="10">
        <v>0</v>
      </c>
      <c r="L87" s="13">
        <f t="shared" si="21"/>
        <v>0</v>
      </c>
      <c r="M87" s="10">
        <v>100</v>
      </c>
      <c r="N87" s="13">
        <f t="shared" si="22"/>
        <v>909.14</v>
      </c>
      <c r="O87" s="10">
        <v>600</v>
      </c>
      <c r="P87" s="13">
        <f t="shared" si="23"/>
        <v>1345.26</v>
      </c>
      <c r="Q87" s="10">
        <v>0</v>
      </c>
      <c r="R87" s="13">
        <f t="shared" si="24"/>
        <v>0</v>
      </c>
      <c r="S87" s="13">
        <f t="shared" si="25"/>
        <v>2254.4</v>
      </c>
      <c r="T87" s="116"/>
      <c r="U87" s="36"/>
    </row>
    <row r="88" spans="1:21" s="14" customFormat="1" x14ac:dyDescent="0.25">
      <c r="A88" s="7">
        <v>45</v>
      </c>
      <c r="B88" s="7">
        <v>392050</v>
      </c>
      <c r="C88" s="35" t="s">
        <v>92</v>
      </c>
      <c r="D88" s="86"/>
      <c r="E88" s="10">
        <v>0</v>
      </c>
      <c r="F88" s="13">
        <f t="shared" si="18"/>
        <v>0</v>
      </c>
      <c r="G88" s="10">
        <v>0</v>
      </c>
      <c r="H88" s="13">
        <f t="shared" si="19"/>
        <v>0</v>
      </c>
      <c r="I88" s="10"/>
      <c r="J88" s="13">
        <f t="shared" si="20"/>
        <v>0</v>
      </c>
      <c r="K88" s="10">
        <v>0</v>
      </c>
      <c r="L88" s="13">
        <f t="shared" si="21"/>
        <v>0</v>
      </c>
      <c r="M88" s="10">
        <v>40</v>
      </c>
      <c r="N88" s="13">
        <f t="shared" si="22"/>
        <v>363.65600000000001</v>
      </c>
      <c r="O88" s="10"/>
      <c r="P88" s="13">
        <f t="shared" si="23"/>
        <v>0</v>
      </c>
      <c r="Q88" s="10">
        <v>50</v>
      </c>
      <c r="R88" s="13">
        <f t="shared" si="24"/>
        <v>21.7</v>
      </c>
      <c r="S88" s="13">
        <f t="shared" si="25"/>
        <v>385.35599999999999</v>
      </c>
      <c r="T88" s="116"/>
      <c r="U88" s="36"/>
    </row>
    <row r="89" spans="1:21" s="24" customFormat="1" x14ac:dyDescent="0.25">
      <c r="A89" s="7">
        <v>46</v>
      </c>
      <c r="B89" s="7">
        <v>390001</v>
      </c>
      <c r="C89" s="35" t="s">
        <v>85</v>
      </c>
      <c r="D89" s="86"/>
      <c r="E89" s="10">
        <v>300</v>
      </c>
      <c r="F89" s="13">
        <f t="shared" si="18"/>
        <v>877.11</v>
      </c>
      <c r="G89" s="10">
        <v>300</v>
      </c>
      <c r="H89" s="13">
        <f t="shared" si="19"/>
        <v>1197.6600000000001</v>
      </c>
      <c r="I89" s="10"/>
      <c r="J89" s="13">
        <f t="shared" si="20"/>
        <v>0</v>
      </c>
      <c r="K89" s="10">
        <v>0</v>
      </c>
      <c r="L89" s="13">
        <f t="shared" si="21"/>
        <v>0</v>
      </c>
      <c r="M89" s="10"/>
      <c r="N89" s="13">
        <f t="shared" si="22"/>
        <v>0</v>
      </c>
      <c r="O89" s="10"/>
      <c r="P89" s="13">
        <f t="shared" si="23"/>
        <v>0</v>
      </c>
      <c r="Q89" s="10">
        <v>0</v>
      </c>
      <c r="R89" s="13">
        <f t="shared" si="24"/>
        <v>0</v>
      </c>
      <c r="S89" s="13">
        <f>F89+H89+J89+L89+N89+P89+R89</f>
        <v>2074.77</v>
      </c>
      <c r="T89" s="105"/>
    </row>
    <row r="90" spans="1:21" customFormat="1" ht="15" hidden="1" outlineLevel="1" x14ac:dyDescent="0.25"/>
    <row r="91" spans="1:21" customFormat="1" ht="15" hidden="1" outlineLevel="1" x14ac:dyDescent="0.25"/>
    <row r="92" spans="1:21" customFormat="1" ht="15" hidden="1" outlineLevel="1" x14ac:dyDescent="0.25"/>
    <row r="93" spans="1:21" collapsed="1" x14ac:dyDescent="0.25">
      <c r="A93" s="38"/>
      <c r="B93" s="38"/>
      <c r="C93" s="39"/>
      <c r="D93" s="83"/>
      <c r="E93" s="41"/>
      <c r="F93" s="123"/>
      <c r="G93" s="123"/>
      <c r="H93" s="123"/>
      <c r="I93" s="123"/>
      <c r="J93" s="123"/>
      <c r="K93" s="123"/>
      <c r="L93" s="123"/>
      <c r="M93" s="123"/>
      <c r="N93" s="123"/>
      <c r="O93" s="123"/>
      <c r="P93" s="123"/>
      <c r="Q93" s="123"/>
      <c r="R93" s="123"/>
      <c r="S93" s="123"/>
    </row>
    <row r="94" spans="1:21" x14ac:dyDescent="0.25">
      <c r="A94" s="42" t="s">
        <v>53</v>
      </c>
      <c r="B94" s="42"/>
      <c r="C94" s="42" t="s">
        <v>54</v>
      </c>
      <c r="D94" s="88"/>
      <c r="E94" s="3"/>
      <c r="F94" s="43" t="s">
        <v>55</v>
      </c>
      <c r="G94" s="42" t="s">
        <v>56</v>
      </c>
      <c r="Q94" s="44"/>
    </row>
    <row r="95" spans="1:21" x14ac:dyDescent="0.25">
      <c r="A95" s="42" t="s">
        <v>59</v>
      </c>
      <c r="B95" s="42"/>
      <c r="C95" s="42" t="s">
        <v>60</v>
      </c>
      <c r="D95" s="88"/>
      <c r="F95" s="45" t="s">
        <v>61</v>
      </c>
      <c r="G95" s="46" t="s">
        <v>62</v>
      </c>
    </row>
    <row r="96" spans="1:21" x14ac:dyDescent="0.25">
      <c r="A96" s="42" t="s">
        <v>63</v>
      </c>
      <c r="B96" s="42"/>
      <c r="C96" s="42" t="s">
        <v>64</v>
      </c>
      <c r="D96" s="88"/>
      <c r="F96" s="45" t="s">
        <v>65</v>
      </c>
      <c r="G96" s="46" t="s">
        <v>66</v>
      </c>
    </row>
    <row r="97" spans="1:21" x14ac:dyDescent="0.25">
      <c r="A97" s="42" t="s">
        <v>67</v>
      </c>
      <c r="B97" s="42"/>
      <c r="C97" s="42" t="s">
        <v>68</v>
      </c>
      <c r="D97" s="88"/>
      <c r="F97" s="45" t="s">
        <v>69</v>
      </c>
      <c r="G97" s="46" t="s">
        <v>70</v>
      </c>
    </row>
    <row r="98" spans="1:21" x14ac:dyDescent="0.25">
      <c r="A98" s="42" t="s">
        <v>71</v>
      </c>
      <c r="B98" s="42"/>
      <c r="C98" s="42" t="s">
        <v>72</v>
      </c>
      <c r="D98" s="88"/>
      <c r="F98" s="45" t="s">
        <v>73</v>
      </c>
      <c r="G98" s="46" t="s">
        <v>74</v>
      </c>
    </row>
    <row r="99" spans="1:21" x14ac:dyDescent="0.25">
      <c r="A99" s="42" t="s">
        <v>75</v>
      </c>
      <c r="B99" s="42"/>
      <c r="C99" s="42" t="s">
        <v>76</v>
      </c>
      <c r="D99" s="88"/>
      <c r="F99" s="47" t="s">
        <v>77</v>
      </c>
      <c r="G99" s="42" t="s">
        <v>78</v>
      </c>
    </row>
    <row r="100" spans="1:21" x14ac:dyDescent="0.25">
      <c r="A100" s="42" t="s">
        <v>79</v>
      </c>
      <c r="B100" s="42"/>
      <c r="C100" s="42" t="s">
        <v>80</v>
      </c>
      <c r="D100" s="88"/>
      <c r="F100" s="47" t="s">
        <v>81</v>
      </c>
      <c r="G100" s="48" t="s">
        <v>82</v>
      </c>
    </row>
    <row r="101" spans="1:21" s="3" customFormat="1" x14ac:dyDescent="0.25">
      <c r="A101" s="43" t="s">
        <v>57</v>
      </c>
      <c r="B101" s="2"/>
      <c r="C101" s="42" t="s">
        <v>58</v>
      </c>
      <c r="D101" s="88"/>
      <c r="E101" s="2"/>
      <c r="F101" s="47" t="s">
        <v>86</v>
      </c>
      <c r="G101" s="48" t="s">
        <v>96</v>
      </c>
      <c r="I101" s="2"/>
      <c r="K101" s="2"/>
      <c r="M101" s="2"/>
      <c r="O101" s="2"/>
      <c r="Q101" s="2"/>
      <c r="T101" s="93"/>
      <c r="U101" s="2"/>
    </row>
    <row r="102" spans="1:21" x14ac:dyDescent="0.25">
      <c r="F102" s="47" t="s">
        <v>94</v>
      </c>
      <c r="G102" s="48" t="s">
        <v>95</v>
      </c>
    </row>
  </sheetData>
  <autoFilter ref="A42:S92" xr:uid="{C409728A-8F18-42FB-BA7E-2D6F6840CA21}">
    <filterColumn colId="4" showButton="0"/>
    <filterColumn colId="6" showButton="0"/>
    <filterColumn colId="8" showButton="0"/>
    <filterColumn colId="10" showButton="0"/>
    <filterColumn colId="12" showButton="0"/>
    <filterColumn colId="14" showButton="0"/>
    <filterColumn colId="16" showButton="0"/>
  </autoFilter>
  <mergeCells count="25">
    <mergeCell ref="A40:S40"/>
    <mergeCell ref="A42:A43"/>
    <mergeCell ref="B42:B43"/>
    <mergeCell ref="C42:C43"/>
    <mergeCell ref="E42:F42"/>
    <mergeCell ref="G42:H42"/>
    <mergeCell ref="I42:J42"/>
    <mergeCell ref="K42:L42"/>
    <mergeCell ref="M42:N42"/>
    <mergeCell ref="O42:P42"/>
    <mergeCell ref="Q42:R42"/>
    <mergeCell ref="S42:S43"/>
    <mergeCell ref="A4:S4"/>
    <mergeCell ref="A5:A7"/>
    <mergeCell ref="B5:B7"/>
    <mergeCell ref="C5:C7"/>
    <mergeCell ref="D5:D7"/>
    <mergeCell ref="E5:F5"/>
    <mergeCell ref="G5:H5"/>
    <mergeCell ref="I5:J5"/>
    <mergeCell ref="K5:L5"/>
    <mergeCell ref="M5:N5"/>
    <mergeCell ref="O5:P5"/>
    <mergeCell ref="Q5:R5"/>
    <mergeCell ref="S5:S7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47" orientation="landscape" horizontalDpi="4294967294" verticalDpi="4294967294" r:id="rId1"/>
  <rowBreaks count="1" manualBreakCount="1">
    <brk id="39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74E01-6DCD-48CE-AC02-F4A46EAA5522}">
  <dimension ref="A1:U98"/>
  <sheetViews>
    <sheetView zoomScale="80" zoomScaleNormal="80" workbookViewId="0">
      <pane xSplit="4" ySplit="7" topLeftCell="E43" activePane="bottomRight" state="frozen"/>
      <selection pane="topRight" activeCell="E1" sqref="E1"/>
      <selection pane="bottomLeft" activeCell="A8" sqref="A8"/>
      <selection pane="bottomRight" activeCell="E53" sqref="E53"/>
    </sheetView>
  </sheetViews>
  <sheetFormatPr defaultColWidth="9.140625" defaultRowHeight="15.75" outlineLevelRow="1" x14ac:dyDescent="0.25"/>
  <cols>
    <col min="1" max="1" width="8" style="1" bestFit="1" customWidth="1"/>
    <col min="2" max="2" width="11.140625" style="1" customWidth="1"/>
    <col min="3" max="3" width="43.85546875" style="1" customWidth="1"/>
    <col min="4" max="4" width="16.28515625" style="81" hidden="1" customWidth="1"/>
    <col min="5" max="5" width="14.28515625" style="2" customWidth="1"/>
    <col min="6" max="6" width="18.42578125" style="3" customWidth="1"/>
    <col min="7" max="7" width="13.5703125" style="2" customWidth="1"/>
    <col min="8" max="8" width="16.85546875" style="3" customWidth="1"/>
    <col min="9" max="9" width="13.5703125" style="2" customWidth="1"/>
    <col min="10" max="10" width="14.7109375" style="3" customWidth="1"/>
    <col min="11" max="11" width="13.85546875" style="2" customWidth="1"/>
    <col min="12" max="12" width="15" style="3" customWidth="1"/>
    <col min="13" max="13" width="14" style="2" customWidth="1"/>
    <col min="14" max="14" width="16.85546875" style="3" customWidth="1"/>
    <col min="15" max="15" width="13.5703125" style="2" customWidth="1"/>
    <col min="16" max="16" width="17.42578125" style="3" customWidth="1"/>
    <col min="17" max="17" width="13.140625" style="2" customWidth="1"/>
    <col min="18" max="18" width="15" style="3" customWidth="1"/>
    <col min="19" max="19" width="15.5703125" style="3" customWidth="1"/>
    <col min="20" max="20" width="16.85546875" style="93" customWidth="1"/>
    <col min="21" max="26" width="10.5703125" style="2" bestFit="1" customWidth="1"/>
    <col min="27" max="16384" width="9.140625" style="2"/>
  </cols>
  <sheetData>
    <row r="1" spans="1:21" x14ac:dyDescent="0.25">
      <c r="S1" s="50" t="s">
        <v>97</v>
      </c>
    </row>
    <row r="2" spans="1:21" x14ac:dyDescent="0.25">
      <c r="S2" s="50" t="s">
        <v>98</v>
      </c>
    </row>
    <row r="3" spans="1:21" x14ac:dyDescent="0.25">
      <c r="S3" s="50" t="s">
        <v>99</v>
      </c>
    </row>
    <row r="4" spans="1:21" ht="39.75" customHeight="1" outlineLevel="1" x14ac:dyDescent="0.3">
      <c r="A4" s="135" t="s">
        <v>83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</row>
    <row r="5" spans="1:21" s="4" customFormat="1" ht="21" customHeight="1" outlineLevel="1" x14ac:dyDescent="0.25">
      <c r="B5" s="115"/>
      <c r="C5" s="115"/>
      <c r="D5" s="115"/>
      <c r="E5" s="115"/>
      <c r="F5" s="115"/>
      <c r="G5" s="115"/>
      <c r="H5" s="115"/>
      <c r="I5" s="115" t="s">
        <v>106</v>
      </c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94"/>
    </row>
    <row r="6" spans="1:21" s="1" customFormat="1" ht="60" customHeight="1" outlineLevel="1" x14ac:dyDescent="0.25">
      <c r="A6" s="136" t="s">
        <v>0</v>
      </c>
      <c r="B6" s="137" t="s">
        <v>1</v>
      </c>
      <c r="C6" s="136" t="s">
        <v>2</v>
      </c>
      <c r="D6" s="140" t="s">
        <v>101</v>
      </c>
      <c r="E6" s="143" t="s">
        <v>3</v>
      </c>
      <c r="F6" s="144"/>
      <c r="G6" s="145" t="s">
        <v>4</v>
      </c>
      <c r="H6" s="146"/>
      <c r="I6" s="145" t="s">
        <v>5</v>
      </c>
      <c r="J6" s="146"/>
      <c r="K6" s="145" t="s">
        <v>6</v>
      </c>
      <c r="L6" s="146"/>
      <c r="M6" s="145" t="s">
        <v>7</v>
      </c>
      <c r="N6" s="146"/>
      <c r="O6" s="145" t="s">
        <v>8</v>
      </c>
      <c r="P6" s="146"/>
      <c r="Q6" s="145" t="s">
        <v>9</v>
      </c>
      <c r="R6" s="146"/>
      <c r="S6" s="147" t="s">
        <v>10</v>
      </c>
      <c r="T6" s="95"/>
    </row>
    <row r="7" spans="1:21" s="81" customFormat="1" ht="18" customHeight="1" outlineLevel="1" x14ac:dyDescent="0.25">
      <c r="A7" s="136"/>
      <c r="B7" s="138"/>
      <c r="C7" s="136"/>
      <c r="D7" s="141"/>
      <c r="E7" s="84">
        <v>6.5812999999999997E-2</v>
      </c>
      <c r="F7" s="106">
        <v>2692.1</v>
      </c>
      <c r="G7" s="107">
        <v>2.4219000000000001E-2</v>
      </c>
      <c r="H7" s="106">
        <v>3675.9</v>
      </c>
      <c r="I7" s="107">
        <v>9.0371000000000007E-2</v>
      </c>
      <c r="J7" s="106">
        <v>543.6</v>
      </c>
      <c r="K7" s="107">
        <v>4.2190999999999999E-2</v>
      </c>
      <c r="L7" s="106">
        <v>996.8</v>
      </c>
      <c r="M7" s="107">
        <v>9.7400000000000004E-4</v>
      </c>
      <c r="N7" s="106">
        <v>8371.1</v>
      </c>
      <c r="O7" s="107">
        <v>1.321E-2</v>
      </c>
      <c r="P7" s="106">
        <v>2064.5</v>
      </c>
      <c r="Q7" s="107">
        <v>6.0604999999999999E-2</v>
      </c>
      <c r="R7" s="106">
        <v>399.6</v>
      </c>
      <c r="S7" s="147"/>
      <c r="T7" s="108"/>
    </row>
    <row r="8" spans="1:21" s="1" customFormat="1" ht="72.75" customHeight="1" outlineLevel="1" x14ac:dyDescent="0.25">
      <c r="A8" s="136"/>
      <c r="B8" s="139"/>
      <c r="C8" s="136"/>
      <c r="D8" s="142"/>
      <c r="E8" s="5" t="s">
        <v>11</v>
      </c>
      <c r="F8" s="6" t="s">
        <v>12</v>
      </c>
      <c r="G8" s="5" t="s">
        <v>11</v>
      </c>
      <c r="H8" s="6" t="s">
        <v>12</v>
      </c>
      <c r="I8" s="5" t="s">
        <v>11</v>
      </c>
      <c r="J8" s="6" t="s">
        <v>12</v>
      </c>
      <c r="K8" s="5" t="s">
        <v>11</v>
      </c>
      <c r="L8" s="6" t="s">
        <v>12</v>
      </c>
      <c r="M8" s="5" t="s">
        <v>11</v>
      </c>
      <c r="N8" s="6" t="s">
        <v>12</v>
      </c>
      <c r="O8" s="5" t="s">
        <v>11</v>
      </c>
      <c r="P8" s="6" t="s">
        <v>12</v>
      </c>
      <c r="Q8" s="5" t="s">
        <v>11</v>
      </c>
      <c r="R8" s="6" t="s">
        <v>12</v>
      </c>
      <c r="S8" s="147"/>
      <c r="T8" s="95"/>
    </row>
    <row r="9" spans="1:21" ht="32.25" customHeight="1" outlineLevel="1" x14ac:dyDescent="0.25">
      <c r="A9" s="7">
        <v>1</v>
      </c>
      <c r="B9" s="8">
        <v>390440</v>
      </c>
      <c r="C9" s="9" t="s">
        <v>13</v>
      </c>
      <c r="D9" s="76">
        <v>96302</v>
      </c>
      <c r="E9" s="72">
        <f>ROUND(D9*$E$7,0)</f>
        <v>6338</v>
      </c>
      <c r="F9" s="69">
        <f>ROUND(E9*$F$7/1000,5)</f>
        <v>17062.5298</v>
      </c>
      <c r="G9" s="72">
        <f>ROUND(D9*$G$7,0)</f>
        <v>2332</v>
      </c>
      <c r="H9" s="69">
        <f>ROUND(G9*$H$7/1000,5)</f>
        <v>8572.1988000000001</v>
      </c>
      <c r="I9" s="54">
        <f>ROUND(D9*$I$7,0)</f>
        <v>8703</v>
      </c>
      <c r="J9" s="55">
        <f>ROUND(I9*$J$7/1000,5)</f>
        <v>4730.9507999999996</v>
      </c>
      <c r="K9" s="72">
        <f>ROUND(D9*$K$7,0)</f>
        <v>4063</v>
      </c>
      <c r="L9" s="69">
        <f>ROUND(K9*$L$7/1000,5)</f>
        <v>4049.9983999999999</v>
      </c>
      <c r="M9" s="54">
        <f>ROUND(D9*$M$7,0)</f>
        <v>94</v>
      </c>
      <c r="N9" s="55">
        <f>ROUND(M9*$N$7/1000,5)</f>
        <v>786.88340000000005</v>
      </c>
      <c r="O9" s="54">
        <f>ROUND(D9*$O$7,0)</f>
        <v>1272</v>
      </c>
      <c r="P9" s="55">
        <f>ROUND(O9*$P$7/1000,2)</f>
        <v>2626.04</v>
      </c>
      <c r="Q9" s="56">
        <f>ROUND(D9*$Q$7,0)</f>
        <v>5836</v>
      </c>
      <c r="R9" s="55">
        <f>ROUND(Q9*$R$7/1000,5)</f>
        <v>2332.0655999999999</v>
      </c>
      <c r="S9" s="55">
        <f>F9+H9+J9+L9+N9+P9+R9</f>
        <v>40160.666799999999</v>
      </c>
      <c r="U9" s="11"/>
    </row>
    <row r="10" spans="1:21" outlineLevel="1" x14ac:dyDescent="0.25">
      <c r="A10" s="7">
        <f>A9+1</f>
        <v>2</v>
      </c>
      <c r="B10" s="8">
        <v>390100</v>
      </c>
      <c r="C10" s="12" t="s">
        <v>14</v>
      </c>
      <c r="D10" s="76">
        <v>76983</v>
      </c>
      <c r="E10" s="72">
        <f t="shared" ref="E10:E35" si="0">ROUND(D10*$E$7,0)</f>
        <v>5066</v>
      </c>
      <c r="F10" s="69">
        <f t="shared" ref="F10:F35" si="1">ROUND(E10*$F$7/1000,5)</f>
        <v>13638.178599999999</v>
      </c>
      <c r="G10" s="72">
        <f t="shared" ref="G10:G35" si="2">ROUND(D10*$G$7,0)</f>
        <v>1864</v>
      </c>
      <c r="H10" s="69">
        <f t="shared" ref="H10:H35" si="3">ROUND(G10*$H$7/1000,5)</f>
        <v>6851.8775999999998</v>
      </c>
      <c r="I10" s="54">
        <f t="shared" ref="I10:I35" si="4">ROUND(D10*$I$7,0)</f>
        <v>6957</v>
      </c>
      <c r="J10" s="55">
        <f t="shared" ref="J10:J35" si="5">ROUND(I10*$J$7/1000,5)</f>
        <v>3781.8252000000002</v>
      </c>
      <c r="K10" s="72">
        <f t="shared" ref="K10:K35" si="6">ROUND(D10*$K$7,0)</f>
        <v>3248</v>
      </c>
      <c r="L10" s="69">
        <f t="shared" ref="L10:L35" si="7">ROUND(K10*$L$7/1000,5)</f>
        <v>3237.6064000000001</v>
      </c>
      <c r="M10" s="54">
        <f t="shared" ref="M10:M35" si="8">ROUND(D10*$M$7,0)</f>
        <v>75</v>
      </c>
      <c r="N10" s="55">
        <f t="shared" ref="N10:N35" si="9">ROUND(M10*$N$7/1000,5)</f>
        <v>627.83249999999998</v>
      </c>
      <c r="O10" s="54">
        <f t="shared" ref="O10:O35" si="10">ROUND(D10*$O$7,0)</f>
        <v>1017</v>
      </c>
      <c r="P10" s="55">
        <f t="shared" ref="P10:P35" si="11">ROUND(O10*$P$7/1000,2)</f>
        <v>2099.6</v>
      </c>
      <c r="Q10" s="56">
        <f t="shared" ref="Q10:Q35" si="12">ROUND(D10*$Q$7,0)</f>
        <v>4666</v>
      </c>
      <c r="R10" s="55">
        <f t="shared" ref="R10:R35" si="13">ROUND(Q10*$R$7/1000,5)</f>
        <v>1864.5336</v>
      </c>
      <c r="S10" s="55">
        <f t="shared" ref="S10:S37" si="14">F10+H10+J10+L10+N10+P10+R10</f>
        <v>32101.453899999997</v>
      </c>
    </row>
    <row r="11" spans="1:21" outlineLevel="1" x14ac:dyDescent="0.25">
      <c r="A11" s="7">
        <f t="shared" ref="A11:A35" si="15">A10+1</f>
        <v>3</v>
      </c>
      <c r="B11" s="8">
        <v>390090</v>
      </c>
      <c r="C11" s="12" t="s">
        <v>15</v>
      </c>
      <c r="D11" s="76">
        <v>76110</v>
      </c>
      <c r="E11" s="72">
        <f t="shared" si="0"/>
        <v>5009</v>
      </c>
      <c r="F11" s="69">
        <f t="shared" si="1"/>
        <v>13484.7289</v>
      </c>
      <c r="G11" s="72">
        <f t="shared" si="2"/>
        <v>1843</v>
      </c>
      <c r="H11" s="69">
        <f t="shared" si="3"/>
        <v>6774.6836999999996</v>
      </c>
      <c r="I11" s="54">
        <f t="shared" si="4"/>
        <v>6878</v>
      </c>
      <c r="J11" s="55">
        <f t="shared" si="5"/>
        <v>3738.8807999999999</v>
      </c>
      <c r="K11" s="72">
        <f t="shared" si="6"/>
        <v>3211</v>
      </c>
      <c r="L11" s="69">
        <f t="shared" si="7"/>
        <v>3200.7248</v>
      </c>
      <c r="M11" s="54">
        <f t="shared" si="8"/>
        <v>74</v>
      </c>
      <c r="N11" s="55">
        <f t="shared" si="9"/>
        <v>619.46140000000003</v>
      </c>
      <c r="O11" s="54">
        <f t="shared" si="10"/>
        <v>1005</v>
      </c>
      <c r="P11" s="55">
        <f t="shared" si="11"/>
        <v>2074.8200000000002</v>
      </c>
      <c r="Q11" s="56">
        <f t="shared" si="12"/>
        <v>4613</v>
      </c>
      <c r="R11" s="55">
        <f t="shared" si="13"/>
        <v>1843.3548000000001</v>
      </c>
      <c r="S11" s="55">
        <f t="shared" si="14"/>
        <v>31736.654399999999</v>
      </c>
    </row>
    <row r="12" spans="1:21" outlineLevel="1" x14ac:dyDescent="0.25">
      <c r="A12" s="7">
        <f t="shared" si="15"/>
        <v>4</v>
      </c>
      <c r="B12" s="8">
        <v>390400</v>
      </c>
      <c r="C12" s="12" t="s">
        <v>16</v>
      </c>
      <c r="D12" s="76">
        <v>164428</v>
      </c>
      <c r="E12" s="72">
        <f t="shared" si="0"/>
        <v>10821</v>
      </c>
      <c r="F12" s="69">
        <f t="shared" si="1"/>
        <v>29131.214100000001</v>
      </c>
      <c r="G12" s="72">
        <f t="shared" si="2"/>
        <v>3982</v>
      </c>
      <c r="H12" s="69">
        <f t="shared" si="3"/>
        <v>14637.433800000001</v>
      </c>
      <c r="I12" s="54">
        <f t="shared" si="4"/>
        <v>14860</v>
      </c>
      <c r="J12" s="55">
        <f t="shared" si="5"/>
        <v>8077.8959999999997</v>
      </c>
      <c r="K12" s="72">
        <f t="shared" si="6"/>
        <v>6937</v>
      </c>
      <c r="L12" s="69">
        <f t="shared" si="7"/>
        <v>6914.8015999999998</v>
      </c>
      <c r="M12" s="54">
        <f t="shared" si="8"/>
        <v>160</v>
      </c>
      <c r="N12" s="55">
        <f t="shared" si="9"/>
        <v>1339.376</v>
      </c>
      <c r="O12" s="54">
        <f t="shared" si="10"/>
        <v>2172</v>
      </c>
      <c r="P12" s="55">
        <f t="shared" si="11"/>
        <v>4484.09</v>
      </c>
      <c r="Q12" s="56">
        <f t="shared" si="12"/>
        <v>9965</v>
      </c>
      <c r="R12" s="55">
        <f t="shared" si="13"/>
        <v>3982.0140000000001</v>
      </c>
      <c r="S12" s="55">
        <f t="shared" si="14"/>
        <v>68566.825499999992</v>
      </c>
    </row>
    <row r="13" spans="1:21" outlineLevel="1" x14ac:dyDescent="0.25">
      <c r="A13" s="7">
        <f t="shared" si="15"/>
        <v>5</v>
      </c>
      <c r="B13" s="8">
        <v>390110</v>
      </c>
      <c r="C13" s="12" t="s">
        <v>17</v>
      </c>
      <c r="D13" s="76">
        <v>12343</v>
      </c>
      <c r="E13" s="72">
        <f t="shared" si="0"/>
        <v>812</v>
      </c>
      <c r="F13" s="69">
        <f t="shared" si="1"/>
        <v>2185.9852000000001</v>
      </c>
      <c r="G13" s="72">
        <f t="shared" si="2"/>
        <v>299</v>
      </c>
      <c r="H13" s="69">
        <f t="shared" si="3"/>
        <v>1099.0941</v>
      </c>
      <c r="I13" s="54">
        <f t="shared" si="4"/>
        <v>1115</v>
      </c>
      <c r="J13" s="55">
        <f t="shared" si="5"/>
        <v>606.11400000000003</v>
      </c>
      <c r="K13" s="72">
        <f t="shared" si="6"/>
        <v>521</v>
      </c>
      <c r="L13" s="69">
        <f t="shared" si="7"/>
        <v>519.33280000000002</v>
      </c>
      <c r="M13" s="54">
        <f t="shared" si="8"/>
        <v>12</v>
      </c>
      <c r="N13" s="55">
        <f t="shared" si="9"/>
        <v>100.4532</v>
      </c>
      <c r="O13" s="54">
        <f t="shared" si="10"/>
        <v>163</v>
      </c>
      <c r="P13" s="55">
        <f t="shared" si="11"/>
        <v>336.51</v>
      </c>
      <c r="Q13" s="56">
        <f t="shared" si="12"/>
        <v>748</v>
      </c>
      <c r="R13" s="55">
        <f t="shared" si="13"/>
        <v>298.9008</v>
      </c>
      <c r="S13" s="55">
        <f t="shared" si="14"/>
        <v>5146.3901000000005</v>
      </c>
    </row>
    <row r="14" spans="1:21" ht="31.5" customHeight="1" outlineLevel="1" x14ac:dyDescent="0.25">
      <c r="A14" s="7">
        <f t="shared" si="15"/>
        <v>6</v>
      </c>
      <c r="B14" s="8">
        <v>390890</v>
      </c>
      <c r="C14" s="9" t="s">
        <v>18</v>
      </c>
      <c r="D14" s="76">
        <v>117135</v>
      </c>
      <c r="E14" s="72">
        <f t="shared" si="0"/>
        <v>7709</v>
      </c>
      <c r="F14" s="69">
        <f t="shared" si="1"/>
        <v>20753.3989</v>
      </c>
      <c r="G14" s="72">
        <f t="shared" si="2"/>
        <v>2837</v>
      </c>
      <c r="H14" s="69">
        <f t="shared" si="3"/>
        <v>10428.5283</v>
      </c>
      <c r="I14" s="54">
        <f t="shared" si="4"/>
        <v>10586</v>
      </c>
      <c r="J14" s="55">
        <f t="shared" si="5"/>
        <v>5754.5496000000003</v>
      </c>
      <c r="K14" s="72">
        <f t="shared" si="6"/>
        <v>4942</v>
      </c>
      <c r="L14" s="69">
        <f t="shared" si="7"/>
        <v>4926.1855999999998</v>
      </c>
      <c r="M14" s="54">
        <f t="shared" si="8"/>
        <v>114</v>
      </c>
      <c r="N14" s="55">
        <f t="shared" si="9"/>
        <v>954.30539999999996</v>
      </c>
      <c r="O14" s="54">
        <f t="shared" si="10"/>
        <v>1547</v>
      </c>
      <c r="P14" s="55">
        <f t="shared" si="11"/>
        <v>3193.78</v>
      </c>
      <c r="Q14" s="56">
        <f t="shared" si="12"/>
        <v>7099</v>
      </c>
      <c r="R14" s="55">
        <f t="shared" si="13"/>
        <v>2836.7604000000001</v>
      </c>
      <c r="S14" s="55">
        <f t="shared" si="14"/>
        <v>48847.508199999989</v>
      </c>
    </row>
    <row r="15" spans="1:21" outlineLevel="1" x14ac:dyDescent="0.25">
      <c r="A15" s="7">
        <f t="shared" si="15"/>
        <v>7</v>
      </c>
      <c r="B15" s="8">
        <v>390200</v>
      </c>
      <c r="C15" s="12" t="s">
        <v>19</v>
      </c>
      <c r="D15" s="76">
        <v>24707</v>
      </c>
      <c r="E15" s="72">
        <f t="shared" si="0"/>
        <v>1626</v>
      </c>
      <c r="F15" s="69">
        <f t="shared" si="1"/>
        <v>4377.3545999999997</v>
      </c>
      <c r="G15" s="72">
        <f t="shared" si="2"/>
        <v>598</v>
      </c>
      <c r="H15" s="69">
        <f t="shared" si="3"/>
        <v>2198.1882000000001</v>
      </c>
      <c r="I15" s="54">
        <f t="shared" si="4"/>
        <v>2233</v>
      </c>
      <c r="J15" s="55">
        <f t="shared" si="5"/>
        <v>1213.8588</v>
      </c>
      <c r="K15" s="72">
        <f t="shared" si="6"/>
        <v>1042</v>
      </c>
      <c r="L15" s="69">
        <f t="shared" si="7"/>
        <v>1038.6656</v>
      </c>
      <c r="M15" s="54">
        <f t="shared" si="8"/>
        <v>24</v>
      </c>
      <c r="N15" s="55">
        <f t="shared" si="9"/>
        <v>200.90639999999999</v>
      </c>
      <c r="O15" s="54">
        <f t="shared" si="10"/>
        <v>326</v>
      </c>
      <c r="P15" s="55">
        <f t="shared" si="11"/>
        <v>673.03</v>
      </c>
      <c r="Q15" s="56">
        <f t="shared" si="12"/>
        <v>1497</v>
      </c>
      <c r="R15" s="55">
        <f t="shared" si="13"/>
        <v>598.20119999999997</v>
      </c>
      <c r="S15" s="55">
        <f t="shared" si="14"/>
        <v>10300.2048</v>
      </c>
    </row>
    <row r="16" spans="1:21" outlineLevel="1" x14ac:dyDescent="0.25">
      <c r="A16" s="7">
        <f t="shared" si="15"/>
        <v>8</v>
      </c>
      <c r="B16" s="8">
        <v>390160</v>
      </c>
      <c r="C16" s="12" t="s">
        <v>20</v>
      </c>
      <c r="D16" s="76">
        <v>25834</v>
      </c>
      <c r="E16" s="72">
        <f t="shared" si="0"/>
        <v>1700</v>
      </c>
      <c r="F16" s="69">
        <f t="shared" si="1"/>
        <v>4576.57</v>
      </c>
      <c r="G16" s="72">
        <f t="shared" si="2"/>
        <v>626</v>
      </c>
      <c r="H16" s="69">
        <f t="shared" si="3"/>
        <v>2301.1134000000002</v>
      </c>
      <c r="I16" s="54">
        <f t="shared" si="4"/>
        <v>2335</v>
      </c>
      <c r="J16" s="55">
        <f t="shared" si="5"/>
        <v>1269.306</v>
      </c>
      <c r="K16" s="72">
        <f t="shared" si="6"/>
        <v>1090</v>
      </c>
      <c r="L16" s="69">
        <f t="shared" si="7"/>
        <v>1086.5119999999999</v>
      </c>
      <c r="M16" s="54">
        <f t="shared" si="8"/>
        <v>25</v>
      </c>
      <c r="N16" s="55">
        <f t="shared" si="9"/>
        <v>209.2775</v>
      </c>
      <c r="O16" s="54">
        <f t="shared" si="10"/>
        <v>341</v>
      </c>
      <c r="P16" s="55">
        <f t="shared" si="11"/>
        <v>703.99</v>
      </c>
      <c r="Q16" s="56">
        <f t="shared" si="12"/>
        <v>1566</v>
      </c>
      <c r="R16" s="55">
        <f t="shared" si="13"/>
        <v>625.77359999999999</v>
      </c>
      <c r="S16" s="55">
        <f t="shared" si="14"/>
        <v>10772.542500000001</v>
      </c>
    </row>
    <row r="17" spans="1:20" outlineLevel="1" x14ac:dyDescent="0.25">
      <c r="A17" s="7">
        <f t="shared" si="15"/>
        <v>9</v>
      </c>
      <c r="B17" s="8">
        <v>390210</v>
      </c>
      <c r="C17" s="12" t="s">
        <v>21</v>
      </c>
      <c r="D17" s="76">
        <v>25857</v>
      </c>
      <c r="E17" s="72">
        <f t="shared" si="0"/>
        <v>1702</v>
      </c>
      <c r="F17" s="69">
        <f t="shared" si="1"/>
        <v>4581.9542000000001</v>
      </c>
      <c r="G17" s="72">
        <f t="shared" si="2"/>
        <v>626</v>
      </c>
      <c r="H17" s="69">
        <f t="shared" si="3"/>
        <v>2301.1134000000002</v>
      </c>
      <c r="I17" s="54">
        <f t="shared" si="4"/>
        <v>2337</v>
      </c>
      <c r="J17" s="55">
        <f t="shared" si="5"/>
        <v>1270.3932</v>
      </c>
      <c r="K17" s="72">
        <f t="shared" si="6"/>
        <v>1091</v>
      </c>
      <c r="L17" s="69">
        <f t="shared" si="7"/>
        <v>1087.5088000000001</v>
      </c>
      <c r="M17" s="54">
        <f t="shared" si="8"/>
        <v>25</v>
      </c>
      <c r="N17" s="55">
        <f t="shared" si="9"/>
        <v>209.2775</v>
      </c>
      <c r="O17" s="54">
        <f t="shared" si="10"/>
        <v>342</v>
      </c>
      <c r="P17" s="55">
        <f t="shared" si="11"/>
        <v>706.06</v>
      </c>
      <c r="Q17" s="56">
        <f t="shared" si="12"/>
        <v>1567</v>
      </c>
      <c r="R17" s="55">
        <f t="shared" si="13"/>
        <v>626.17319999999995</v>
      </c>
      <c r="S17" s="55">
        <f t="shared" si="14"/>
        <v>10782.480299999999</v>
      </c>
    </row>
    <row r="18" spans="1:20" s="14" customFormat="1" outlineLevel="1" x14ac:dyDescent="0.25">
      <c r="A18" s="7">
        <f t="shared" si="15"/>
        <v>10</v>
      </c>
      <c r="B18" s="8">
        <v>390220</v>
      </c>
      <c r="C18" s="12" t="s">
        <v>22</v>
      </c>
      <c r="D18" s="76">
        <v>71133</v>
      </c>
      <c r="E18" s="72">
        <f t="shared" si="0"/>
        <v>4681</v>
      </c>
      <c r="F18" s="69">
        <f t="shared" si="1"/>
        <v>12601.7201</v>
      </c>
      <c r="G18" s="72">
        <f t="shared" si="2"/>
        <v>1723</v>
      </c>
      <c r="H18" s="69">
        <f t="shared" si="3"/>
        <v>6333.5757000000003</v>
      </c>
      <c r="I18" s="54">
        <f t="shared" si="4"/>
        <v>6428</v>
      </c>
      <c r="J18" s="55">
        <f t="shared" si="5"/>
        <v>3494.2608</v>
      </c>
      <c r="K18" s="72">
        <f t="shared" si="6"/>
        <v>3001</v>
      </c>
      <c r="L18" s="69">
        <f t="shared" si="7"/>
        <v>2991.3968</v>
      </c>
      <c r="M18" s="54">
        <f t="shared" si="8"/>
        <v>69</v>
      </c>
      <c r="N18" s="55">
        <f t="shared" si="9"/>
        <v>577.60590000000002</v>
      </c>
      <c r="O18" s="54">
        <f t="shared" si="10"/>
        <v>940</v>
      </c>
      <c r="P18" s="55">
        <f t="shared" si="11"/>
        <v>1940.63</v>
      </c>
      <c r="Q18" s="56">
        <f t="shared" si="12"/>
        <v>4311</v>
      </c>
      <c r="R18" s="55">
        <f t="shared" si="13"/>
        <v>1722.6756</v>
      </c>
      <c r="S18" s="55">
        <f t="shared" si="14"/>
        <v>29661.864899999997</v>
      </c>
      <c r="T18" s="40"/>
    </row>
    <row r="19" spans="1:20" outlineLevel="1" x14ac:dyDescent="0.25">
      <c r="A19" s="7">
        <f t="shared" si="15"/>
        <v>11</v>
      </c>
      <c r="B19" s="8">
        <v>390230</v>
      </c>
      <c r="C19" s="12" t="s">
        <v>23</v>
      </c>
      <c r="D19" s="76">
        <v>29440</v>
      </c>
      <c r="E19" s="72">
        <f t="shared" si="0"/>
        <v>1938</v>
      </c>
      <c r="F19" s="69">
        <f t="shared" si="1"/>
        <v>5217.2897999999996</v>
      </c>
      <c r="G19" s="72">
        <f t="shared" si="2"/>
        <v>713</v>
      </c>
      <c r="H19" s="69">
        <f t="shared" si="3"/>
        <v>2620.9167000000002</v>
      </c>
      <c r="I19" s="54">
        <f t="shared" si="4"/>
        <v>2661</v>
      </c>
      <c r="J19" s="55">
        <f t="shared" si="5"/>
        <v>1446.5196000000001</v>
      </c>
      <c r="K19" s="72">
        <f t="shared" si="6"/>
        <v>1242</v>
      </c>
      <c r="L19" s="69">
        <f t="shared" si="7"/>
        <v>1238.0255999999999</v>
      </c>
      <c r="M19" s="54">
        <f t="shared" si="8"/>
        <v>29</v>
      </c>
      <c r="N19" s="55">
        <f t="shared" si="9"/>
        <v>242.7619</v>
      </c>
      <c r="O19" s="54">
        <f t="shared" si="10"/>
        <v>389</v>
      </c>
      <c r="P19" s="55">
        <f t="shared" si="11"/>
        <v>803.09</v>
      </c>
      <c r="Q19" s="56">
        <f t="shared" si="12"/>
        <v>1784</v>
      </c>
      <c r="R19" s="55">
        <f t="shared" si="13"/>
        <v>712.88639999999998</v>
      </c>
      <c r="S19" s="55">
        <f t="shared" si="14"/>
        <v>12281.49</v>
      </c>
    </row>
    <row r="20" spans="1:20" outlineLevel="1" x14ac:dyDescent="0.25">
      <c r="A20" s="7">
        <f t="shared" si="15"/>
        <v>12</v>
      </c>
      <c r="B20" s="8">
        <v>390240</v>
      </c>
      <c r="C20" s="12" t="s">
        <v>24</v>
      </c>
      <c r="D20" s="76">
        <v>32610</v>
      </c>
      <c r="E20" s="72">
        <f t="shared" si="0"/>
        <v>2146</v>
      </c>
      <c r="F20" s="69">
        <f t="shared" si="1"/>
        <v>5777.2466000000004</v>
      </c>
      <c r="G20" s="72">
        <f t="shared" si="2"/>
        <v>790</v>
      </c>
      <c r="H20" s="69">
        <f t="shared" si="3"/>
        <v>2903.9609999999998</v>
      </c>
      <c r="I20" s="54">
        <f t="shared" si="4"/>
        <v>2947</v>
      </c>
      <c r="J20" s="55">
        <f t="shared" si="5"/>
        <v>1601.9892</v>
      </c>
      <c r="K20" s="72">
        <f t="shared" si="6"/>
        <v>1376</v>
      </c>
      <c r="L20" s="69">
        <f t="shared" si="7"/>
        <v>1371.5968</v>
      </c>
      <c r="M20" s="54">
        <f t="shared" si="8"/>
        <v>32</v>
      </c>
      <c r="N20" s="55">
        <f t="shared" si="9"/>
        <v>267.87520000000001</v>
      </c>
      <c r="O20" s="54">
        <f t="shared" si="10"/>
        <v>431</v>
      </c>
      <c r="P20" s="55">
        <f t="shared" si="11"/>
        <v>889.8</v>
      </c>
      <c r="Q20" s="56">
        <f t="shared" si="12"/>
        <v>1976</v>
      </c>
      <c r="R20" s="55">
        <f t="shared" si="13"/>
        <v>789.6096</v>
      </c>
      <c r="S20" s="55">
        <f t="shared" si="14"/>
        <v>13602.078399999999</v>
      </c>
    </row>
    <row r="21" spans="1:20" outlineLevel="1" x14ac:dyDescent="0.25">
      <c r="A21" s="7">
        <f t="shared" si="15"/>
        <v>13</v>
      </c>
      <c r="B21" s="8">
        <v>390290</v>
      </c>
      <c r="C21" s="12" t="s">
        <v>25</v>
      </c>
      <c r="D21" s="76">
        <v>9585</v>
      </c>
      <c r="E21" s="72">
        <f t="shared" si="0"/>
        <v>631</v>
      </c>
      <c r="F21" s="69">
        <f t="shared" si="1"/>
        <v>1698.7150999999999</v>
      </c>
      <c r="G21" s="72">
        <f t="shared" si="2"/>
        <v>232</v>
      </c>
      <c r="H21" s="69">
        <f t="shared" si="3"/>
        <v>852.80880000000002</v>
      </c>
      <c r="I21" s="54">
        <f t="shared" si="4"/>
        <v>866</v>
      </c>
      <c r="J21" s="55">
        <f t="shared" si="5"/>
        <v>470.75760000000002</v>
      </c>
      <c r="K21" s="72">
        <f t="shared" si="6"/>
        <v>404</v>
      </c>
      <c r="L21" s="69">
        <f t="shared" si="7"/>
        <v>402.7072</v>
      </c>
      <c r="M21" s="54">
        <f t="shared" si="8"/>
        <v>9</v>
      </c>
      <c r="N21" s="55">
        <f t="shared" si="9"/>
        <v>75.3399</v>
      </c>
      <c r="O21" s="54">
        <f t="shared" si="10"/>
        <v>127</v>
      </c>
      <c r="P21" s="55">
        <f t="shared" si="11"/>
        <v>262.19</v>
      </c>
      <c r="Q21" s="56">
        <f t="shared" si="12"/>
        <v>581</v>
      </c>
      <c r="R21" s="55">
        <f t="shared" si="13"/>
        <v>232.16759999999999</v>
      </c>
      <c r="S21" s="55">
        <f t="shared" si="14"/>
        <v>3994.6862000000001</v>
      </c>
    </row>
    <row r="22" spans="1:20" outlineLevel="1" x14ac:dyDescent="0.25">
      <c r="A22" s="7">
        <f t="shared" si="15"/>
        <v>14</v>
      </c>
      <c r="B22" s="15">
        <v>390380</v>
      </c>
      <c r="C22" s="16" t="s">
        <v>26</v>
      </c>
      <c r="D22" s="76">
        <v>6053</v>
      </c>
      <c r="E22" s="72">
        <f t="shared" si="0"/>
        <v>398</v>
      </c>
      <c r="F22" s="69">
        <f t="shared" si="1"/>
        <v>1071.4558</v>
      </c>
      <c r="G22" s="72">
        <f t="shared" si="2"/>
        <v>147</v>
      </c>
      <c r="H22" s="69">
        <f t="shared" si="3"/>
        <v>540.35730000000001</v>
      </c>
      <c r="I22" s="54">
        <f t="shared" si="4"/>
        <v>547</v>
      </c>
      <c r="J22" s="55">
        <f t="shared" si="5"/>
        <v>297.3492</v>
      </c>
      <c r="K22" s="72">
        <f t="shared" si="6"/>
        <v>255</v>
      </c>
      <c r="L22" s="69">
        <f t="shared" si="7"/>
        <v>254.184</v>
      </c>
      <c r="M22" s="54">
        <f t="shared" si="8"/>
        <v>6</v>
      </c>
      <c r="N22" s="55">
        <f t="shared" si="9"/>
        <v>50.226599999999998</v>
      </c>
      <c r="O22" s="54">
        <f t="shared" si="10"/>
        <v>80</v>
      </c>
      <c r="P22" s="55">
        <f t="shared" si="11"/>
        <v>165.16</v>
      </c>
      <c r="Q22" s="56">
        <f t="shared" si="12"/>
        <v>367</v>
      </c>
      <c r="R22" s="55">
        <f t="shared" si="13"/>
        <v>146.6532</v>
      </c>
      <c r="S22" s="55">
        <f t="shared" si="14"/>
        <v>2525.3861000000002</v>
      </c>
    </row>
    <row r="23" spans="1:20" outlineLevel="1" x14ac:dyDescent="0.25">
      <c r="A23" s="7">
        <f t="shared" si="15"/>
        <v>15</v>
      </c>
      <c r="B23" s="15">
        <v>390370</v>
      </c>
      <c r="C23" s="16" t="s">
        <v>27</v>
      </c>
      <c r="D23" s="76">
        <v>10266</v>
      </c>
      <c r="E23" s="72">
        <f t="shared" si="0"/>
        <v>676</v>
      </c>
      <c r="F23" s="69">
        <f t="shared" si="1"/>
        <v>1819.8596</v>
      </c>
      <c r="G23" s="72">
        <f t="shared" si="2"/>
        <v>249</v>
      </c>
      <c r="H23" s="69">
        <f t="shared" si="3"/>
        <v>915.29909999999995</v>
      </c>
      <c r="I23" s="54">
        <f t="shared" si="4"/>
        <v>928</v>
      </c>
      <c r="J23" s="55">
        <f t="shared" si="5"/>
        <v>504.46080000000001</v>
      </c>
      <c r="K23" s="72">
        <f t="shared" si="6"/>
        <v>433</v>
      </c>
      <c r="L23" s="69">
        <f t="shared" si="7"/>
        <v>431.61439999999999</v>
      </c>
      <c r="M23" s="54">
        <f t="shared" si="8"/>
        <v>10</v>
      </c>
      <c r="N23" s="55">
        <f t="shared" si="9"/>
        <v>83.710999999999999</v>
      </c>
      <c r="O23" s="54">
        <f t="shared" si="10"/>
        <v>136</v>
      </c>
      <c r="P23" s="55">
        <f t="shared" si="11"/>
        <v>280.77</v>
      </c>
      <c r="Q23" s="56">
        <f t="shared" si="12"/>
        <v>622</v>
      </c>
      <c r="R23" s="55">
        <f t="shared" si="13"/>
        <v>248.55119999999999</v>
      </c>
      <c r="S23" s="55">
        <f t="shared" si="14"/>
        <v>4284.2660999999998</v>
      </c>
    </row>
    <row r="24" spans="1:20" ht="17.25" customHeight="1" outlineLevel="1" x14ac:dyDescent="0.25">
      <c r="A24" s="7">
        <f t="shared" si="15"/>
        <v>16</v>
      </c>
      <c r="B24" s="15">
        <v>390480</v>
      </c>
      <c r="C24" s="17" t="s">
        <v>28</v>
      </c>
      <c r="D24" s="76">
        <v>36508</v>
      </c>
      <c r="E24" s="72">
        <f t="shared" si="0"/>
        <v>2403</v>
      </c>
      <c r="F24" s="69">
        <f t="shared" si="1"/>
        <v>6469.1162999999997</v>
      </c>
      <c r="G24" s="72">
        <f t="shared" si="2"/>
        <v>884</v>
      </c>
      <c r="H24" s="69">
        <f t="shared" si="3"/>
        <v>3249.4956000000002</v>
      </c>
      <c r="I24" s="54">
        <f t="shared" si="4"/>
        <v>3299</v>
      </c>
      <c r="J24" s="55">
        <f t="shared" si="5"/>
        <v>1793.3363999999999</v>
      </c>
      <c r="K24" s="72">
        <f t="shared" si="6"/>
        <v>1540</v>
      </c>
      <c r="L24" s="69">
        <f t="shared" si="7"/>
        <v>1535.0719999999999</v>
      </c>
      <c r="M24" s="54">
        <f t="shared" si="8"/>
        <v>36</v>
      </c>
      <c r="N24" s="55">
        <f t="shared" si="9"/>
        <v>301.3596</v>
      </c>
      <c r="O24" s="54">
        <f t="shared" si="10"/>
        <v>482</v>
      </c>
      <c r="P24" s="55">
        <f t="shared" si="11"/>
        <v>995.09</v>
      </c>
      <c r="Q24" s="56">
        <f t="shared" si="12"/>
        <v>2213</v>
      </c>
      <c r="R24" s="55">
        <f t="shared" si="13"/>
        <v>884.31479999999999</v>
      </c>
      <c r="S24" s="55">
        <f t="shared" si="14"/>
        <v>15227.7847</v>
      </c>
    </row>
    <row r="25" spans="1:20" outlineLevel="1" x14ac:dyDescent="0.25">
      <c r="A25" s="7">
        <f t="shared" si="15"/>
        <v>17</v>
      </c>
      <c r="B25" s="15">
        <v>390260</v>
      </c>
      <c r="C25" s="16" t="s">
        <v>29</v>
      </c>
      <c r="D25" s="76">
        <v>16302</v>
      </c>
      <c r="E25" s="72">
        <f t="shared" si="0"/>
        <v>1073</v>
      </c>
      <c r="F25" s="69">
        <f t="shared" si="1"/>
        <v>2888.6233000000002</v>
      </c>
      <c r="G25" s="72">
        <f t="shared" si="2"/>
        <v>395</v>
      </c>
      <c r="H25" s="69">
        <f t="shared" si="3"/>
        <v>1451.9804999999999</v>
      </c>
      <c r="I25" s="54">
        <f t="shared" si="4"/>
        <v>1473</v>
      </c>
      <c r="J25" s="55">
        <f t="shared" si="5"/>
        <v>800.72280000000001</v>
      </c>
      <c r="K25" s="72">
        <f t="shared" si="6"/>
        <v>688</v>
      </c>
      <c r="L25" s="69">
        <f t="shared" si="7"/>
        <v>685.79840000000002</v>
      </c>
      <c r="M25" s="54">
        <f t="shared" si="8"/>
        <v>16</v>
      </c>
      <c r="N25" s="55">
        <f t="shared" si="9"/>
        <v>133.9376</v>
      </c>
      <c r="O25" s="54">
        <f t="shared" si="10"/>
        <v>215</v>
      </c>
      <c r="P25" s="55">
        <f t="shared" si="11"/>
        <v>443.87</v>
      </c>
      <c r="Q25" s="56">
        <f t="shared" si="12"/>
        <v>988</v>
      </c>
      <c r="R25" s="55">
        <f t="shared" si="13"/>
        <v>394.8048</v>
      </c>
      <c r="S25" s="55">
        <f t="shared" si="14"/>
        <v>6799.7374</v>
      </c>
    </row>
    <row r="26" spans="1:20" outlineLevel="1" x14ac:dyDescent="0.25">
      <c r="A26" s="7">
        <f t="shared" si="15"/>
        <v>18</v>
      </c>
      <c r="B26" s="15">
        <v>390250</v>
      </c>
      <c r="C26" s="16" t="s">
        <v>30</v>
      </c>
      <c r="D26" s="76">
        <v>12085</v>
      </c>
      <c r="E26" s="72">
        <f t="shared" si="0"/>
        <v>795</v>
      </c>
      <c r="F26" s="69">
        <f t="shared" si="1"/>
        <v>2140.2195000000002</v>
      </c>
      <c r="G26" s="72">
        <f t="shared" si="2"/>
        <v>293</v>
      </c>
      <c r="H26" s="69">
        <f t="shared" si="3"/>
        <v>1077.0387000000001</v>
      </c>
      <c r="I26" s="54">
        <f t="shared" si="4"/>
        <v>1092</v>
      </c>
      <c r="J26" s="55">
        <f t="shared" si="5"/>
        <v>593.61120000000005</v>
      </c>
      <c r="K26" s="72">
        <f t="shared" si="6"/>
        <v>510</v>
      </c>
      <c r="L26" s="69">
        <f t="shared" si="7"/>
        <v>508.36799999999999</v>
      </c>
      <c r="M26" s="54">
        <f t="shared" si="8"/>
        <v>12</v>
      </c>
      <c r="N26" s="55">
        <f t="shared" si="9"/>
        <v>100.4532</v>
      </c>
      <c r="O26" s="54">
        <f t="shared" si="10"/>
        <v>160</v>
      </c>
      <c r="P26" s="55">
        <f t="shared" si="11"/>
        <v>330.32</v>
      </c>
      <c r="Q26" s="56">
        <f t="shared" si="12"/>
        <v>732</v>
      </c>
      <c r="R26" s="55">
        <f t="shared" si="13"/>
        <v>292.50720000000001</v>
      </c>
      <c r="S26" s="55">
        <f t="shared" si="14"/>
        <v>5042.5178000000005</v>
      </c>
    </row>
    <row r="27" spans="1:20" outlineLevel="1" x14ac:dyDescent="0.25">
      <c r="A27" s="7">
        <f t="shared" si="15"/>
        <v>19</v>
      </c>
      <c r="B27" s="15">
        <v>390300</v>
      </c>
      <c r="C27" s="16" t="s">
        <v>31</v>
      </c>
      <c r="D27" s="76">
        <v>11211</v>
      </c>
      <c r="E27" s="72">
        <f t="shared" si="0"/>
        <v>738</v>
      </c>
      <c r="F27" s="69">
        <f t="shared" si="1"/>
        <v>1986.7698</v>
      </c>
      <c r="G27" s="72">
        <f t="shared" si="2"/>
        <v>272</v>
      </c>
      <c r="H27" s="69">
        <f t="shared" si="3"/>
        <v>999.84479999999996</v>
      </c>
      <c r="I27" s="54">
        <f t="shared" si="4"/>
        <v>1013</v>
      </c>
      <c r="J27" s="55">
        <f t="shared" si="5"/>
        <v>550.66679999999997</v>
      </c>
      <c r="K27" s="72">
        <f t="shared" si="6"/>
        <v>473</v>
      </c>
      <c r="L27" s="69">
        <f t="shared" si="7"/>
        <v>471.4864</v>
      </c>
      <c r="M27" s="54">
        <f t="shared" si="8"/>
        <v>11</v>
      </c>
      <c r="N27" s="55">
        <f t="shared" si="9"/>
        <v>92.082099999999997</v>
      </c>
      <c r="O27" s="54">
        <f t="shared" si="10"/>
        <v>148</v>
      </c>
      <c r="P27" s="55">
        <f t="shared" si="11"/>
        <v>305.55</v>
      </c>
      <c r="Q27" s="56">
        <f t="shared" si="12"/>
        <v>679</v>
      </c>
      <c r="R27" s="55">
        <f t="shared" si="13"/>
        <v>271.32839999999999</v>
      </c>
      <c r="S27" s="55">
        <f t="shared" si="14"/>
        <v>4677.7282999999998</v>
      </c>
    </row>
    <row r="28" spans="1:20" outlineLevel="1" x14ac:dyDescent="0.25">
      <c r="A28" s="7">
        <f t="shared" si="15"/>
        <v>20</v>
      </c>
      <c r="B28" s="15">
        <v>390310</v>
      </c>
      <c r="C28" s="16" t="s">
        <v>32</v>
      </c>
      <c r="D28" s="76">
        <v>16274</v>
      </c>
      <c r="E28" s="72">
        <f t="shared" si="0"/>
        <v>1071</v>
      </c>
      <c r="F28" s="69">
        <f t="shared" si="1"/>
        <v>2883.2390999999998</v>
      </c>
      <c r="G28" s="72">
        <f t="shared" si="2"/>
        <v>394</v>
      </c>
      <c r="H28" s="69">
        <f t="shared" si="3"/>
        <v>1448.3045999999999</v>
      </c>
      <c r="I28" s="54">
        <f t="shared" si="4"/>
        <v>1471</v>
      </c>
      <c r="J28" s="55">
        <f t="shared" si="5"/>
        <v>799.63559999999995</v>
      </c>
      <c r="K28" s="72">
        <f t="shared" si="6"/>
        <v>687</v>
      </c>
      <c r="L28" s="69">
        <f t="shared" si="7"/>
        <v>684.80160000000001</v>
      </c>
      <c r="M28" s="54">
        <f t="shared" si="8"/>
        <v>16</v>
      </c>
      <c r="N28" s="55">
        <f t="shared" si="9"/>
        <v>133.9376</v>
      </c>
      <c r="O28" s="54">
        <f t="shared" si="10"/>
        <v>215</v>
      </c>
      <c r="P28" s="55">
        <f t="shared" si="11"/>
        <v>443.87</v>
      </c>
      <c r="Q28" s="56">
        <f t="shared" si="12"/>
        <v>986</v>
      </c>
      <c r="R28" s="55">
        <f t="shared" si="13"/>
        <v>394.00560000000002</v>
      </c>
      <c r="S28" s="55">
        <f t="shared" si="14"/>
        <v>6787.7941000000001</v>
      </c>
    </row>
    <row r="29" spans="1:20" outlineLevel="1" x14ac:dyDescent="0.25">
      <c r="A29" s="7">
        <f t="shared" si="15"/>
        <v>21</v>
      </c>
      <c r="B29" s="15">
        <v>390320</v>
      </c>
      <c r="C29" s="16" t="s">
        <v>33</v>
      </c>
      <c r="D29" s="76">
        <v>16285</v>
      </c>
      <c r="E29" s="72">
        <f t="shared" si="0"/>
        <v>1072</v>
      </c>
      <c r="F29" s="69">
        <f t="shared" si="1"/>
        <v>2885.9312</v>
      </c>
      <c r="G29" s="72">
        <f t="shared" si="2"/>
        <v>394</v>
      </c>
      <c r="H29" s="69">
        <f t="shared" si="3"/>
        <v>1448.3045999999999</v>
      </c>
      <c r="I29" s="54">
        <f t="shared" si="4"/>
        <v>1472</v>
      </c>
      <c r="J29" s="55">
        <f t="shared" si="5"/>
        <v>800.17920000000004</v>
      </c>
      <c r="K29" s="72">
        <f t="shared" si="6"/>
        <v>687</v>
      </c>
      <c r="L29" s="69">
        <f t="shared" si="7"/>
        <v>684.80160000000001</v>
      </c>
      <c r="M29" s="54">
        <f t="shared" si="8"/>
        <v>16</v>
      </c>
      <c r="N29" s="55">
        <f t="shared" si="9"/>
        <v>133.9376</v>
      </c>
      <c r="O29" s="54">
        <f t="shared" si="10"/>
        <v>215</v>
      </c>
      <c r="P29" s="55">
        <f t="shared" si="11"/>
        <v>443.87</v>
      </c>
      <c r="Q29" s="56">
        <f t="shared" si="12"/>
        <v>987</v>
      </c>
      <c r="R29" s="55">
        <f t="shared" si="13"/>
        <v>394.40519999999998</v>
      </c>
      <c r="S29" s="55">
        <f t="shared" si="14"/>
        <v>6791.4294000000009</v>
      </c>
    </row>
    <row r="30" spans="1:20" outlineLevel="1" x14ac:dyDescent="0.25">
      <c r="A30" s="7">
        <f t="shared" si="15"/>
        <v>22</v>
      </c>
      <c r="B30" s="15">
        <v>390180</v>
      </c>
      <c r="C30" s="16" t="s">
        <v>102</v>
      </c>
      <c r="D30" s="76">
        <v>27822</v>
      </c>
      <c r="E30" s="72">
        <f t="shared" si="0"/>
        <v>1831</v>
      </c>
      <c r="F30" s="69">
        <f t="shared" si="1"/>
        <v>4929.2350999999999</v>
      </c>
      <c r="G30" s="72">
        <f t="shared" si="2"/>
        <v>674</v>
      </c>
      <c r="H30" s="69">
        <f t="shared" si="3"/>
        <v>2477.5565999999999</v>
      </c>
      <c r="I30" s="54">
        <f t="shared" si="4"/>
        <v>2514</v>
      </c>
      <c r="J30" s="55">
        <f t="shared" si="5"/>
        <v>1366.6104</v>
      </c>
      <c r="K30" s="72">
        <f t="shared" si="6"/>
        <v>1174</v>
      </c>
      <c r="L30" s="69">
        <f t="shared" si="7"/>
        <v>1170.2431999999999</v>
      </c>
      <c r="M30" s="54">
        <f t="shared" si="8"/>
        <v>27</v>
      </c>
      <c r="N30" s="55">
        <f t="shared" si="9"/>
        <v>226.0197</v>
      </c>
      <c r="O30" s="54">
        <f t="shared" si="10"/>
        <v>368</v>
      </c>
      <c r="P30" s="55">
        <f t="shared" si="11"/>
        <v>759.74</v>
      </c>
      <c r="Q30" s="56">
        <f t="shared" si="12"/>
        <v>1686</v>
      </c>
      <c r="R30" s="55">
        <f t="shared" si="13"/>
        <v>673.72559999999999</v>
      </c>
      <c r="S30" s="55">
        <f t="shared" si="14"/>
        <v>11603.1306</v>
      </c>
    </row>
    <row r="31" spans="1:20" outlineLevel="1" x14ac:dyDescent="0.25">
      <c r="A31" s="7">
        <f t="shared" si="15"/>
        <v>23</v>
      </c>
      <c r="B31" s="15">
        <v>390270</v>
      </c>
      <c r="C31" s="16" t="s">
        <v>34</v>
      </c>
      <c r="D31" s="76">
        <v>15755</v>
      </c>
      <c r="E31" s="72">
        <f t="shared" si="0"/>
        <v>1037</v>
      </c>
      <c r="F31" s="69">
        <f t="shared" si="1"/>
        <v>2791.7076999999999</v>
      </c>
      <c r="G31" s="72">
        <f t="shared" si="2"/>
        <v>382</v>
      </c>
      <c r="H31" s="69">
        <f t="shared" si="3"/>
        <v>1404.1938</v>
      </c>
      <c r="I31" s="54">
        <f t="shared" si="4"/>
        <v>1424</v>
      </c>
      <c r="J31" s="55">
        <f t="shared" si="5"/>
        <v>774.08640000000003</v>
      </c>
      <c r="K31" s="72">
        <f t="shared" si="6"/>
        <v>665</v>
      </c>
      <c r="L31" s="69">
        <f t="shared" si="7"/>
        <v>662.87199999999996</v>
      </c>
      <c r="M31" s="54">
        <f t="shared" si="8"/>
        <v>15</v>
      </c>
      <c r="N31" s="55">
        <f t="shared" si="9"/>
        <v>125.5665</v>
      </c>
      <c r="O31" s="54">
        <f t="shared" si="10"/>
        <v>208</v>
      </c>
      <c r="P31" s="55">
        <f t="shared" si="11"/>
        <v>429.42</v>
      </c>
      <c r="Q31" s="56">
        <f t="shared" si="12"/>
        <v>955</v>
      </c>
      <c r="R31" s="55">
        <f t="shared" si="13"/>
        <v>381.61799999999999</v>
      </c>
      <c r="S31" s="55">
        <f t="shared" si="14"/>
        <v>6569.4644000000008</v>
      </c>
    </row>
    <row r="32" spans="1:20" outlineLevel="1" x14ac:dyDescent="0.25">
      <c r="A32" s="7">
        <f t="shared" si="15"/>
        <v>24</v>
      </c>
      <c r="B32" s="15">
        <v>390190</v>
      </c>
      <c r="C32" s="16" t="s">
        <v>35</v>
      </c>
      <c r="D32" s="76">
        <v>34235</v>
      </c>
      <c r="E32" s="72">
        <f t="shared" si="0"/>
        <v>2253</v>
      </c>
      <c r="F32" s="69">
        <f t="shared" si="1"/>
        <v>6065.3013000000001</v>
      </c>
      <c r="G32" s="72">
        <f t="shared" si="2"/>
        <v>829</v>
      </c>
      <c r="H32" s="69">
        <f t="shared" si="3"/>
        <v>3047.3211000000001</v>
      </c>
      <c r="I32" s="54">
        <f t="shared" si="4"/>
        <v>3094</v>
      </c>
      <c r="J32" s="55">
        <f t="shared" si="5"/>
        <v>1681.8984</v>
      </c>
      <c r="K32" s="72">
        <f t="shared" si="6"/>
        <v>1444</v>
      </c>
      <c r="L32" s="69">
        <f t="shared" si="7"/>
        <v>1439.3792000000001</v>
      </c>
      <c r="M32" s="54">
        <f t="shared" si="8"/>
        <v>33</v>
      </c>
      <c r="N32" s="55">
        <f t="shared" si="9"/>
        <v>276.24630000000002</v>
      </c>
      <c r="O32" s="54">
        <f t="shared" si="10"/>
        <v>452</v>
      </c>
      <c r="P32" s="55">
        <f t="shared" si="11"/>
        <v>933.15</v>
      </c>
      <c r="Q32" s="56">
        <f t="shared" si="12"/>
        <v>2075</v>
      </c>
      <c r="R32" s="55">
        <f t="shared" si="13"/>
        <v>829.17</v>
      </c>
      <c r="S32" s="55">
        <f t="shared" si="14"/>
        <v>14272.4663</v>
      </c>
    </row>
    <row r="33" spans="1:20" outlineLevel="1" x14ac:dyDescent="0.25">
      <c r="A33" s="7">
        <f t="shared" si="15"/>
        <v>25</v>
      </c>
      <c r="B33" s="15">
        <v>390280</v>
      </c>
      <c r="C33" s="16" t="s">
        <v>36</v>
      </c>
      <c r="D33" s="76">
        <v>40626</v>
      </c>
      <c r="E33" s="72">
        <f t="shared" si="0"/>
        <v>2674</v>
      </c>
      <c r="F33" s="69">
        <f t="shared" si="1"/>
        <v>7198.6754000000001</v>
      </c>
      <c r="G33" s="72">
        <f t="shared" si="2"/>
        <v>984</v>
      </c>
      <c r="H33" s="69">
        <f t="shared" si="3"/>
        <v>3617.0855999999999</v>
      </c>
      <c r="I33" s="54">
        <f t="shared" si="4"/>
        <v>3671</v>
      </c>
      <c r="J33" s="55">
        <f t="shared" si="5"/>
        <v>1995.5555999999999</v>
      </c>
      <c r="K33" s="72">
        <f t="shared" si="6"/>
        <v>1714</v>
      </c>
      <c r="L33" s="69">
        <f t="shared" si="7"/>
        <v>1708.5152</v>
      </c>
      <c r="M33" s="54">
        <f t="shared" si="8"/>
        <v>40</v>
      </c>
      <c r="N33" s="55">
        <f t="shared" si="9"/>
        <v>334.84399999999999</v>
      </c>
      <c r="O33" s="54">
        <f t="shared" si="10"/>
        <v>537</v>
      </c>
      <c r="P33" s="55">
        <f t="shared" si="11"/>
        <v>1108.6400000000001</v>
      </c>
      <c r="Q33" s="56">
        <f t="shared" si="12"/>
        <v>2462</v>
      </c>
      <c r="R33" s="55">
        <f t="shared" si="13"/>
        <v>983.8152</v>
      </c>
      <c r="S33" s="55">
        <f t="shared" si="14"/>
        <v>16947.130999999998</v>
      </c>
    </row>
    <row r="34" spans="1:20" outlineLevel="1" x14ac:dyDescent="0.25">
      <c r="A34" s="7">
        <f t="shared" si="15"/>
        <v>26</v>
      </c>
      <c r="B34" s="15">
        <v>390600</v>
      </c>
      <c r="C34" s="17" t="s">
        <v>104</v>
      </c>
      <c r="D34" s="76">
        <v>13586</v>
      </c>
      <c r="E34" s="72">
        <f t="shared" si="0"/>
        <v>894</v>
      </c>
      <c r="F34" s="69">
        <f t="shared" si="1"/>
        <v>2406.7374</v>
      </c>
      <c r="G34" s="72">
        <f t="shared" si="2"/>
        <v>329</v>
      </c>
      <c r="H34" s="69">
        <f t="shared" si="3"/>
        <v>1209.3711000000001</v>
      </c>
      <c r="I34" s="54">
        <f t="shared" si="4"/>
        <v>1228</v>
      </c>
      <c r="J34" s="55">
        <f t="shared" si="5"/>
        <v>667.54079999999999</v>
      </c>
      <c r="K34" s="72">
        <f t="shared" si="6"/>
        <v>573</v>
      </c>
      <c r="L34" s="69">
        <f t="shared" si="7"/>
        <v>571.16639999999995</v>
      </c>
      <c r="M34" s="54">
        <f t="shared" si="8"/>
        <v>13</v>
      </c>
      <c r="N34" s="55">
        <f t="shared" si="9"/>
        <v>108.82429999999999</v>
      </c>
      <c r="O34" s="54">
        <f t="shared" si="10"/>
        <v>179</v>
      </c>
      <c r="P34" s="55">
        <f t="shared" si="11"/>
        <v>369.55</v>
      </c>
      <c r="Q34" s="56">
        <f t="shared" si="12"/>
        <v>823</v>
      </c>
      <c r="R34" s="55">
        <f t="shared" si="13"/>
        <v>328.87079999999997</v>
      </c>
      <c r="S34" s="55">
        <f t="shared" si="14"/>
        <v>5662.0608000000002</v>
      </c>
    </row>
    <row r="35" spans="1:20" ht="21" customHeight="1" outlineLevel="1" x14ac:dyDescent="0.25">
      <c r="A35" s="18">
        <f t="shared" si="15"/>
        <v>27</v>
      </c>
      <c r="B35" s="15">
        <v>390340</v>
      </c>
      <c r="C35" s="17" t="s">
        <v>105</v>
      </c>
      <c r="D35" s="76">
        <v>12773</v>
      </c>
      <c r="E35" s="72">
        <f t="shared" si="0"/>
        <v>841</v>
      </c>
      <c r="F35" s="69">
        <f t="shared" si="1"/>
        <v>2264.0560999999998</v>
      </c>
      <c r="G35" s="72">
        <f t="shared" si="2"/>
        <v>309</v>
      </c>
      <c r="H35" s="69">
        <f t="shared" si="3"/>
        <v>1135.8531</v>
      </c>
      <c r="I35" s="54">
        <f t="shared" si="4"/>
        <v>1154</v>
      </c>
      <c r="J35" s="55">
        <f t="shared" si="5"/>
        <v>627.31439999999998</v>
      </c>
      <c r="K35" s="72">
        <f t="shared" si="6"/>
        <v>539</v>
      </c>
      <c r="L35" s="69">
        <f t="shared" si="7"/>
        <v>537.27520000000004</v>
      </c>
      <c r="M35" s="54">
        <f t="shared" si="8"/>
        <v>12</v>
      </c>
      <c r="N35" s="55">
        <f t="shared" si="9"/>
        <v>100.4532</v>
      </c>
      <c r="O35" s="54">
        <f t="shared" si="10"/>
        <v>169</v>
      </c>
      <c r="P35" s="55">
        <f t="shared" si="11"/>
        <v>348.9</v>
      </c>
      <c r="Q35" s="56">
        <f t="shared" si="12"/>
        <v>774</v>
      </c>
      <c r="R35" s="55">
        <f t="shared" si="13"/>
        <v>309.29039999999998</v>
      </c>
      <c r="S35" s="55">
        <f t="shared" si="14"/>
        <v>5323.1423999999997</v>
      </c>
    </row>
    <row r="36" spans="1:20" s="68" customFormat="1" outlineLevel="1" x14ac:dyDescent="0.25">
      <c r="A36" s="65"/>
      <c r="B36" s="19"/>
      <c r="C36" s="20" t="s">
        <v>39</v>
      </c>
      <c r="D36" s="76">
        <f>SUM(D9:D35)</f>
        <v>1032248</v>
      </c>
      <c r="E36" s="70">
        <f>ROUND(SUM(E9:E35),0)</f>
        <v>67935</v>
      </c>
      <c r="F36" s="71">
        <f t="shared" ref="F36" si="16">ROUND(E36*2692.1/1000,5)</f>
        <v>182887.81349999999</v>
      </c>
      <c r="G36" s="70">
        <f>ROUND(SUM(G9:G35),1)</f>
        <v>25000</v>
      </c>
      <c r="H36" s="71">
        <f>ROUND(SUM(H9:H35),2)</f>
        <v>91897.5</v>
      </c>
      <c r="I36" s="59">
        <f>ROUND(SUM(I9:I35),0)</f>
        <v>93286</v>
      </c>
      <c r="J36" s="58">
        <f>ROUND(SUM(J9:J35),2)</f>
        <v>50710.27</v>
      </c>
      <c r="K36" s="59">
        <f>ROUND(SUM(K9:K35),0)</f>
        <v>43550</v>
      </c>
      <c r="L36" s="58">
        <f t="shared" ref="L36" si="17">ROUND(K36*996.8/1000,2)</f>
        <v>43410.64</v>
      </c>
      <c r="M36" s="57">
        <f>ROUND(SUM(M9:M35),0)</f>
        <v>1005</v>
      </c>
      <c r="N36" s="58">
        <f>ROUND(SUM(N9:N35),2)</f>
        <v>8412.9599999999991</v>
      </c>
      <c r="O36" s="59">
        <f>ROUND(SUM(O9:O35),0)</f>
        <v>13636</v>
      </c>
      <c r="P36" s="58">
        <f>ROUND(SUM(P9:P35),1)</f>
        <v>28151.5</v>
      </c>
      <c r="Q36" s="60">
        <f>SUM(Q9:Q35)</f>
        <v>62558</v>
      </c>
      <c r="R36" s="58">
        <f t="shared" ref="R36" si="18">SUM(R9:R35)</f>
        <v>24998.176800000005</v>
      </c>
      <c r="S36" s="58">
        <f t="shared" si="14"/>
        <v>430468.86030000006</v>
      </c>
      <c r="T36" s="96"/>
    </row>
    <row r="37" spans="1:20" s="80" customFormat="1" outlineLevel="1" x14ac:dyDescent="0.25">
      <c r="A37" s="73"/>
      <c r="B37" s="74"/>
      <c r="C37" s="75" t="s">
        <v>40</v>
      </c>
      <c r="D37" s="76">
        <v>128</v>
      </c>
      <c r="E37" s="77">
        <f t="shared" ref="E37:R37" si="19">E38-E36</f>
        <v>9</v>
      </c>
      <c r="F37" s="78">
        <f t="shared" si="19"/>
        <v>22.914929999999003</v>
      </c>
      <c r="G37" s="77">
        <f t="shared" si="19"/>
        <v>3</v>
      </c>
      <c r="H37" s="78">
        <f t="shared" si="19"/>
        <v>11.027700000006007</v>
      </c>
      <c r="I37" s="77">
        <f t="shared" si="19"/>
        <v>11</v>
      </c>
      <c r="J37" s="78">
        <f t="shared" si="19"/>
        <v>5.9792000000015832</v>
      </c>
      <c r="K37" s="77">
        <f t="shared" si="19"/>
        <v>7</v>
      </c>
      <c r="L37" s="78">
        <f t="shared" si="19"/>
        <v>6.6143900000024587</v>
      </c>
      <c r="M37" s="77">
        <f t="shared" si="19"/>
        <v>1</v>
      </c>
      <c r="N37" s="78">
        <f t="shared" si="19"/>
        <v>8.3666000000011991</v>
      </c>
      <c r="O37" s="77">
        <f t="shared" si="19"/>
        <v>2</v>
      </c>
      <c r="P37" s="78">
        <f t="shared" si="19"/>
        <v>4.1510000000016589</v>
      </c>
      <c r="Q37" s="79">
        <f t="shared" si="19"/>
        <v>9.3080080080108019</v>
      </c>
      <c r="R37" s="78">
        <f t="shared" si="19"/>
        <v>3.7194799999961106</v>
      </c>
      <c r="S37" s="78">
        <f t="shared" si="14"/>
        <v>62.773300000008021</v>
      </c>
      <c r="T37" s="97"/>
    </row>
    <row r="38" spans="1:20" s="64" customFormat="1" ht="18.75" outlineLevel="1" x14ac:dyDescent="0.25">
      <c r="A38" s="61"/>
      <c r="B38" s="62"/>
      <c r="C38" s="63" t="s">
        <v>41</v>
      </c>
      <c r="D38" s="82">
        <f>D36+D37</f>
        <v>1032376</v>
      </c>
      <c r="E38" s="89">
        <v>67944</v>
      </c>
      <c r="F38" s="90">
        <v>182910.72842999999</v>
      </c>
      <c r="G38" s="91">
        <v>25003</v>
      </c>
      <c r="H38" s="90">
        <v>91908.527700000006</v>
      </c>
      <c r="I38" s="91">
        <v>93297</v>
      </c>
      <c r="J38" s="90">
        <v>50716.249199999998</v>
      </c>
      <c r="K38" s="91">
        <v>43557</v>
      </c>
      <c r="L38" s="90">
        <v>43417.254390000002</v>
      </c>
      <c r="M38" s="91">
        <v>1006</v>
      </c>
      <c r="N38" s="90">
        <v>8421.3266000000003</v>
      </c>
      <c r="O38" s="91">
        <v>13638</v>
      </c>
      <c r="P38" s="90">
        <v>28155.651000000002</v>
      </c>
      <c r="Q38" s="91">
        <v>62567.308008008011</v>
      </c>
      <c r="R38" s="90">
        <v>25001.896280000001</v>
      </c>
      <c r="S38" s="92">
        <f>F38+H38+J38+L38+N38+P38+R38</f>
        <v>430531.6336</v>
      </c>
      <c r="T38" s="98"/>
    </row>
    <row r="39" spans="1:20" x14ac:dyDescent="0.25">
      <c r="A39" s="23"/>
      <c r="B39" s="24"/>
      <c r="C39" s="24"/>
      <c r="D39" s="83"/>
      <c r="E39" s="25"/>
      <c r="F39" s="111"/>
      <c r="G39" s="25"/>
      <c r="H39" s="111"/>
      <c r="I39" s="25"/>
      <c r="J39" s="27"/>
      <c r="K39" s="25"/>
      <c r="L39" s="26"/>
      <c r="M39" s="25"/>
      <c r="N39" s="26"/>
      <c r="O39" s="25"/>
      <c r="P39" s="26"/>
      <c r="Q39" s="25"/>
      <c r="R39" s="26"/>
      <c r="S39" s="28"/>
      <c r="T39" s="25"/>
    </row>
    <row r="40" spans="1:20" s="14" customFormat="1" ht="47.25" customHeight="1" x14ac:dyDescent="0.25">
      <c r="A40" s="149" t="s">
        <v>84</v>
      </c>
      <c r="B40" s="149"/>
      <c r="C40" s="149"/>
      <c r="D40" s="149"/>
      <c r="E40" s="149"/>
      <c r="F40" s="149"/>
      <c r="G40" s="149"/>
      <c r="H40" s="149"/>
      <c r="I40" s="149"/>
      <c r="J40" s="149"/>
      <c r="K40" s="149"/>
      <c r="L40" s="149"/>
      <c r="M40" s="149"/>
      <c r="N40" s="149"/>
      <c r="O40" s="149"/>
      <c r="P40" s="149"/>
      <c r="Q40" s="149"/>
      <c r="R40" s="149"/>
      <c r="S40" s="149"/>
      <c r="T40" s="40"/>
    </row>
    <row r="41" spans="1:20" s="29" customFormat="1" ht="15.75" customHeight="1" x14ac:dyDescent="0.25">
      <c r="D41" s="83"/>
      <c r="F41" s="30"/>
      <c r="I41" s="67" t="s">
        <v>103</v>
      </c>
      <c r="J41" s="51"/>
      <c r="K41" s="51"/>
      <c r="L41" s="51"/>
      <c r="M41" s="51"/>
      <c r="N41" s="51"/>
      <c r="O41" s="31"/>
      <c r="P41" s="30"/>
      <c r="Q41" s="32"/>
      <c r="R41" s="33"/>
      <c r="S41" s="30"/>
      <c r="T41" s="99"/>
    </row>
    <row r="42" spans="1:20" s="14" customFormat="1" ht="60" customHeight="1" x14ac:dyDescent="0.25">
      <c r="A42" s="136" t="s">
        <v>0</v>
      </c>
      <c r="B42" s="137" t="s">
        <v>1</v>
      </c>
      <c r="C42" s="136" t="s">
        <v>2</v>
      </c>
      <c r="D42" s="84"/>
      <c r="E42" s="143" t="s">
        <v>3</v>
      </c>
      <c r="F42" s="144"/>
      <c r="G42" s="145" t="s">
        <v>4</v>
      </c>
      <c r="H42" s="146"/>
      <c r="I42" s="145" t="s">
        <v>5</v>
      </c>
      <c r="J42" s="146"/>
      <c r="K42" s="145" t="s">
        <v>6</v>
      </c>
      <c r="L42" s="146"/>
      <c r="M42" s="145" t="s">
        <v>7</v>
      </c>
      <c r="N42" s="146"/>
      <c r="O42" s="145" t="s">
        <v>8</v>
      </c>
      <c r="P42" s="146"/>
      <c r="Q42" s="145" t="s">
        <v>9</v>
      </c>
      <c r="R42" s="146"/>
      <c r="S42" s="147" t="s">
        <v>10</v>
      </c>
      <c r="T42" s="40"/>
    </row>
    <row r="43" spans="1:20" s="14" customFormat="1" ht="63" x14ac:dyDescent="0.25">
      <c r="A43" s="136"/>
      <c r="B43" s="139"/>
      <c r="C43" s="136"/>
      <c r="D43" s="85"/>
      <c r="E43" s="5" t="s">
        <v>11</v>
      </c>
      <c r="F43" s="6" t="s">
        <v>12</v>
      </c>
      <c r="G43" s="5" t="s">
        <v>11</v>
      </c>
      <c r="H43" s="6" t="s">
        <v>12</v>
      </c>
      <c r="I43" s="5" t="s">
        <v>11</v>
      </c>
      <c r="J43" s="6" t="s">
        <v>12</v>
      </c>
      <c r="K43" s="5" t="s">
        <v>11</v>
      </c>
      <c r="L43" s="6" t="s">
        <v>12</v>
      </c>
      <c r="M43" s="5" t="s">
        <v>11</v>
      </c>
      <c r="N43" s="6" t="s">
        <v>12</v>
      </c>
      <c r="O43" s="5" t="s">
        <v>11</v>
      </c>
      <c r="P43" s="6" t="s">
        <v>12</v>
      </c>
      <c r="Q43" s="5" t="s">
        <v>11</v>
      </c>
      <c r="R43" s="6" t="s">
        <v>12</v>
      </c>
      <c r="S43" s="147"/>
      <c r="T43" s="40"/>
    </row>
    <row r="44" spans="1:20" s="36" customFormat="1" ht="31.5" x14ac:dyDescent="0.25">
      <c r="A44" s="7">
        <v>1</v>
      </c>
      <c r="B44" s="34">
        <v>390470</v>
      </c>
      <c r="C44" s="35" t="s">
        <v>42</v>
      </c>
      <c r="D44" s="86"/>
      <c r="E44" s="52">
        <v>26175</v>
      </c>
      <c r="F44" s="114">
        <f>ROUND(E44*$F$7/1000,5)-1.3</f>
        <v>70464.417499999996</v>
      </c>
      <c r="G44" s="52">
        <v>12074</v>
      </c>
      <c r="H44" s="53">
        <f>ROUND(G44*$H$7/1000,5)</f>
        <v>44382.816599999998</v>
      </c>
      <c r="I44" s="10">
        <v>10200</v>
      </c>
      <c r="J44" s="109">
        <f>ROUND(I44*$J$7/1000,5)</f>
        <v>5544.72</v>
      </c>
      <c r="K44" s="52">
        <v>8597</v>
      </c>
      <c r="L44" s="114">
        <f>ROUND(K44*$L$7/1000,5)-0.3</f>
        <v>8569.1896000000015</v>
      </c>
      <c r="M44" s="10">
        <v>463</v>
      </c>
      <c r="N44" s="13">
        <f>ROUND(M44*$N$7/1000,5)</f>
        <v>3875.8193000000001</v>
      </c>
      <c r="O44" s="10">
        <v>9352</v>
      </c>
      <c r="P44" s="13">
        <f>ROUND(O44*$P$7/1000,5)</f>
        <v>19307.204000000002</v>
      </c>
      <c r="Q44" s="110">
        <v>0</v>
      </c>
      <c r="R44" s="53">
        <f>ROUND(Q44*$R$7/1000,5)</f>
        <v>0</v>
      </c>
      <c r="S44" s="53">
        <f>F44+H44+J44+L44+N44+P44+R44</f>
        <v>152144.16699999999</v>
      </c>
      <c r="T44" s="100"/>
    </row>
    <row r="45" spans="1:20" s="36" customFormat="1" x14ac:dyDescent="0.25">
      <c r="A45" s="7">
        <v>2</v>
      </c>
      <c r="B45" s="15">
        <v>390800</v>
      </c>
      <c r="C45" s="35" t="s">
        <v>43</v>
      </c>
      <c r="D45" s="86"/>
      <c r="E45" s="52">
        <v>6577</v>
      </c>
      <c r="F45" s="53">
        <f t="shared" ref="F45:F84" si="20">ROUND(E45*$F$7/1000,5)</f>
        <v>17705.941699999999</v>
      </c>
      <c r="G45" s="52">
        <v>5741</v>
      </c>
      <c r="H45" s="53">
        <f t="shared" ref="H45:H85" si="21">ROUND(G45*$H$7/1000,5)</f>
        <v>21103.341899999999</v>
      </c>
      <c r="I45" s="10">
        <v>1500</v>
      </c>
      <c r="J45" s="109">
        <f t="shared" ref="J45:J85" si="22">ROUND(I45*$J$7/1000,5)</f>
        <v>815.4</v>
      </c>
      <c r="K45" s="52">
        <v>716</v>
      </c>
      <c r="L45" s="53">
        <f t="shared" ref="L45:L85" si="23">ROUND(K45*$L$7/1000,5)</f>
        <v>713.7088</v>
      </c>
      <c r="M45" s="10"/>
      <c r="N45" s="13">
        <f t="shared" ref="N45:N85" si="24">ROUND(M45*$N$7/1000,5)</f>
        <v>0</v>
      </c>
      <c r="O45" s="10"/>
      <c r="P45" s="13">
        <f t="shared" ref="P45:P85" si="25">ROUND(O45*$P$7/1000,5)</f>
        <v>0</v>
      </c>
      <c r="Q45" s="110">
        <v>0</v>
      </c>
      <c r="R45" s="53">
        <f t="shared" ref="R45:R85" si="26">ROUND(Q45*$R$7/1000,5)</f>
        <v>0</v>
      </c>
      <c r="S45" s="53">
        <f t="shared" ref="S45:S85" si="27">F45+H45+J45+L45+N45+P45+R45</f>
        <v>40338.392399999997</v>
      </c>
      <c r="T45" s="100"/>
    </row>
    <row r="46" spans="1:20" s="36" customFormat="1" x14ac:dyDescent="0.25">
      <c r="A46" s="7">
        <v>3</v>
      </c>
      <c r="B46" s="15">
        <v>391100</v>
      </c>
      <c r="C46" s="35" t="s">
        <v>44</v>
      </c>
      <c r="D46" s="86"/>
      <c r="E46" s="52">
        <v>0</v>
      </c>
      <c r="F46" s="53">
        <f t="shared" si="20"/>
        <v>0</v>
      </c>
      <c r="G46" s="52">
        <v>0</v>
      </c>
      <c r="H46" s="53">
        <f t="shared" si="21"/>
        <v>0</v>
      </c>
      <c r="I46" s="10"/>
      <c r="J46" s="109">
        <f t="shared" si="22"/>
        <v>0</v>
      </c>
      <c r="K46" s="52">
        <v>0</v>
      </c>
      <c r="L46" s="53">
        <f t="shared" si="23"/>
        <v>0</v>
      </c>
      <c r="M46" s="10"/>
      <c r="N46" s="13">
        <f t="shared" si="24"/>
        <v>0</v>
      </c>
      <c r="O46" s="10"/>
      <c r="P46" s="13">
        <f t="shared" si="25"/>
        <v>0</v>
      </c>
      <c r="Q46" s="110">
        <v>37396</v>
      </c>
      <c r="R46" s="53">
        <f t="shared" si="26"/>
        <v>14943.4416</v>
      </c>
      <c r="S46" s="53">
        <f t="shared" si="27"/>
        <v>14943.4416</v>
      </c>
      <c r="T46" s="100"/>
    </row>
    <row r="47" spans="1:20" s="36" customFormat="1" ht="31.5" x14ac:dyDescent="0.25">
      <c r="A47" s="7">
        <v>4</v>
      </c>
      <c r="B47" s="34">
        <v>390050</v>
      </c>
      <c r="C47" s="35" t="s">
        <v>45</v>
      </c>
      <c r="D47" s="86"/>
      <c r="E47" s="52">
        <v>0</v>
      </c>
      <c r="F47" s="53">
        <f t="shared" si="20"/>
        <v>0</v>
      </c>
      <c r="G47" s="52">
        <v>0</v>
      </c>
      <c r="H47" s="53">
        <f t="shared" si="21"/>
        <v>0</v>
      </c>
      <c r="I47" s="10"/>
      <c r="J47" s="109">
        <f t="shared" si="22"/>
        <v>0</v>
      </c>
      <c r="K47" s="52">
        <v>0</v>
      </c>
      <c r="L47" s="53">
        <f t="shared" si="23"/>
        <v>0</v>
      </c>
      <c r="M47" s="10"/>
      <c r="N47" s="13">
        <f t="shared" si="24"/>
        <v>0</v>
      </c>
      <c r="O47" s="10"/>
      <c r="P47" s="13">
        <f t="shared" si="25"/>
        <v>0</v>
      </c>
      <c r="Q47" s="110">
        <v>18048</v>
      </c>
      <c r="R47" s="53">
        <f t="shared" si="26"/>
        <v>7211.9808000000003</v>
      </c>
      <c r="S47" s="53">
        <f t="shared" si="27"/>
        <v>7211.9808000000003</v>
      </c>
      <c r="T47" s="100"/>
    </row>
    <row r="48" spans="1:20" s="36" customFormat="1" ht="31.5" x14ac:dyDescent="0.25">
      <c r="A48" s="7">
        <v>5</v>
      </c>
      <c r="B48" s="8">
        <v>390440</v>
      </c>
      <c r="C48" s="9" t="s">
        <v>13</v>
      </c>
      <c r="D48" s="87"/>
      <c r="E48" s="52">
        <v>2953</v>
      </c>
      <c r="F48" s="53">
        <f t="shared" si="20"/>
        <v>7949.7713000000003</v>
      </c>
      <c r="G48" s="52">
        <v>0</v>
      </c>
      <c r="H48" s="53">
        <f t="shared" si="21"/>
        <v>0</v>
      </c>
      <c r="I48" s="10">
        <v>14439</v>
      </c>
      <c r="J48" s="109">
        <f t="shared" si="22"/>
        <v>7849.0403999999999</v>
      </c>
      <c r="K48" s="52">
        <v>3582</v>
      </c>
      <c r="L48" s="53">
        <f t="shared" si="23"/>
        <v>3570.5376000000001</v>
      </c>
      <c r="M48" s="10"/>
      <c r="N48" s="13">
        <f t="shared" si="24"/>
        <v>0</v>
      </c>
      <c r="O48" s="10">
        <v>3500</v>
      </c>
      <c r="P48" s="13">
        <f t="shared" si="25"/>
        <v>7225.75</v>
      </c>
      <c r="Q48" s="110">
        <v>7056</v>
      </c>
      <c r="R48" s="53">
        <f t="shared" si="26"/>
        <v>2819.5776000000001</v>
      </c>
      <c r="S48" s="53">
        <f t="shared" si="27"/>
        <v>29414.676900000002</v>
      </c>
      <c r="T48" s="100"/>
    </row>
    <row r="49" spans="1:20" s="14" customFormat="1" ht="31.5" x14ac:dyDescent="0.25">
      <c r="A49" s="7">
        <v>6</v>
      </c>
      <c r="B49" s="34">
        <v>390070</v>
      </c>
      <c r="C49" s="35" t="s">
        <v>46</v>
      </c>
      <c r="D49" s="86"/>
      <c r="E49" s="52">
        <v>16107</v>
      </c>
      <c r="F49" s="53">
        <f t="shared" si="20"/>
        <v>43361.654699999999</v>
      </c>
      <c r="G49" s="52">
        <v>2142</v>
      </c>
      <c r="H49" s="53">
        <f t="shared" si="21"/>
        <v>7873.7777999999998</v>
      </c>
      <c r="I49" s="10"/>
      <c r="J49" s="109">
        <f t="shared" si="22"/>
        <v>0</v>
      </c>
      <c r="K49" s="52">
        <v>1433</v>
      </c>
      <c r="L49" s="53">
        <f t="shared" si="23"/>
        <v>1428.4143999999999</v>
      </c>
      <c r="M49" s="10"/>
      <c r="N49" s="13">
        <f t="shared" si="24"/>
        <v>0</v>
      </c>
      <c r="O49" s="10"/>
      <c r="P49" s="13">
        <f t="shared" si="25"/>
        <v>0</v>
      </c>
      <c r="Q49" s="110">
        <v>0</v>
      </c>
      <c r="R49" s="53">
        <f t="shared" si="26"/>
        <v>0</v>
      </c>
      <c r="S49" s="53">
        <f t="shared" si="27"/>
        <v>52663.846899999997</v>
      </c>
      <c r="T49" s="100"/>
    </row>
    <row r="50" spans="1:20" s="14" customFormat="1" x14ac:dyDescent="0.25">
      <c r="A50" s="7">
        <v>7</v>
      </c>
      <c r="B50" s="8">
        <v>390100</v>
      </c>
      <c r="C50" s="12" t="s">
        <v>14</v>
      </c>
      <c r="D50" s="75"/>
      <c r="E50" s="52">
        <v>0</v>
      </c>
      <c r="F50" s="53">
        <f t="shared" si="20"/>
        <v>0</v>
      </c>
      <c r="G50" s="52">
        <v>0</v>
      </c>
      <c r="H50" s="53">
        <f t="shared" si="21"/>
        <v>0</v>
      </c>
      <c r="I50" s="10">
        <v>1498</v>
      </c>
      <c r="J50" s="109">
        <f t="shared" si="22"/>
        <v>814.31280000000004</v>
      </c>
      <c r="K50" s="52">
        <v>3502</v>
      </c>
      <c r="L50" s="53">
        <f t="shared" si="23"/>
        <v>3490.7936</v>
      </c>
      <c r="M50" s="10"/>
      <c r="N50" s="13">
        <f t="shared" si="24"/>
        <v>0</v>
      </c>
      <c r="O50" s="10"/>
      <c r="P50" s="13">
        <f t="shared" si="25"/>
        <v>0</v>
      </c>
      <c r="Q50" s="110">
        <v>0</v>
      </c>
      <c r="R50" s="53">
        <f t="shared" si="26"/>
        <v>0</v>
      </c>
      <c r="S50" s="53">
        <f t="shared" si="27"/>
        <v>4305.1063999999997</v>
      </c>
      <c r="T50" s="100"/>
    </row>
    <row r="51" spans="1:20" s="14" customFormat="1" x14ac:dyDescent="0.25">
      <c r="A51" s="7">
        <v>8</v>
      </c>
      <c r="B51" s="8">
        <v>390090</v>
      </c>
      <c r="C51" s="12" t="s">
        <v>15</v>
      </c>
      <c r="D51" s="75"/>
      <c r="E51" s="52">
        <v>0</v>
      </c>
      <c r="F51" s="53">
        <f t="shared" si="20"/>
        <v>0</v>
      </c>
      <c r="G51" s="52">
        <v>0</v>
      </c>
      <c r="H51" s="53">
        <f t="shared" si="21"/>
        <v>0</v>
      </c>
      <c r="I51" s="10">
        <v>3603</v>
      </c>
      <c r="J51" s="109">
        <f t="shared" si="22"/>
        <v>1958.5907999999999</v>
      </c>
      <c r="K51" s="52">
        <v>1433</v>
      </c>
      <c r="L51" s="53">
        <f t="shared" si="23"/>
        <v>1428.4143999999999</v>
      </c>
      <c r="M51" s="10"/>
      <c r="N51" s="13">
        <f t="shared" si="24"/>
        <v>0</v>
      </c>
      <c r="O51" s="10"/>
      <c r="P51" s="13">
        <f t="shared" si="25"/>
        <v>0</v>
      </c>
      <c r="Q51" s="110">
        <v>0</v>
      </c>
      <c r="R51" s="53">
        <f t="shared" si="26"/>
        <v>0</v>
      </c>
      <c r="S51" s="53">
        <f t="shared" si="27"/>
        <v>3387.0051999999996</v>
      </c>
      <c r="T51" s="100"/>
    </row>
    <row r="52" spans="1:20" s="14" customFormat="1" x14ac:dyDescent="0.25">
      <c r="A52" s="7">
        <v>9</v>
      </c>
      <c r="B52" s="8">
        <v>390400</v>
      </c>
      <c r="C52" s="12" t="s">
        <v>16</v>
      </c>
      <c r="D52" s="75"/>
      <c r="E52" s="52">
        <v>0</v>
      </c>
      <c r="F52" s="53">
        <f t="shared" si="20"/>
        <v>0</v>
      </c>
      <c r="G52" s="52">
        <v>0</v>
      </c>
      <c r="H52" s="53">
        <f t="shared" si="21"/>
        <v>0</v>
      </c>
      <c r="I52" s="10">
        <v>15523</v>
      </c>
      <c r="J52" s="109">
        <f t="shared" si="22"/>
        <v>8438.3027999999995</v>
      </c>
      <c r="K52" s="52">
        <v>7881</v>
      </c>
      <c r="L52" s="53">
        <f t="shared" si="23"/>
        <v>7855.7808000000005</v>
      </c>
      <c r="M52" s="10"/>
      <c r="N52" s="13">
        <f t="shared" si="24"/>
        <v>0</v>
      </c>
      <c r="O52" s="10"/>
      <c r="P52" s="13">
        <f t="shared" si="25"/>
        <v>0</v>
      </c>
      <c r="Q52" s="110">
        <v>0</v>
      </c>
      <c r="R52" s="53">
        <f t="shared" si="26"/>
        <v>0</v>
      </c>
      <c r="S52" s="53">
        <f t="shared" si="27"/>
        <v>16294.0836</v>
      </c>
      <c r="T52" s="100"/>
    </row>
    <row r="53" spans="1:20" s="14" customFormat="1" outlineLevel="1" x14ac:dyDescent="0.25">
      <c r="A53" s="7"/>
      <c r="B53" s="8">
        <v>390110</v>
      </c>
      <c r="C53" s="12" t="s">
        <v>17</v>
      </c>
      <c r="D53" s="75"/>
      <c r="E53" s="52">
        <v>0</v>
      </c>
      <c r="F53" s="53">
        <f t="shared" si="20"/>
        <v>0</v>
      </c>
      <c r="G53" s="52">
        <v>0</v>
      </c>
      <c r="H53" s="53">
        <f t="shared" si="21"/>
        <v>0</v>
      </c>
      <c r="I53" s="10"/>
      <c r="J53" s="109">
        <f t="shared" si="22"/>
        <v>0</v>
      </c>
      <c r="K53" s="52">
        <v>0</v>
      </c>
      <c r="L53" s="53">
        <f t="shared" si="23"/>
        <v>0</v>
      </c>
      <c r="M53" s="10"/>
      <c r="N53" s="13">
        <f t="shared" si="24"/>
        <v>0</v>
      </c>
      <c r="O53" s="10"/>
      <c r="P53" s="13">
        <f t="shared" si="25"/>
        <v>0</v>
      </c>
      <c r="Q53" s="110">
        <v>0</v>
      </c>
      <c r="R53" s="53">
        <f t="shared" si="26"/>
        <v>0</v>
      </c>
      <c r="S53" s="53">
        <f t="shared" si="27"/>
        <v>0</v>
      </c>
      <c r="T53" s="100"/>
    </row>
    <row r="54" spans="1:20" s="14" customFormat="1" ht="31.5" x14ac:dyDescent="0.25">
      <c r="A54" s="7">
        <v>10</v>
      </c>
      <c r="B54" s="8">
        <v>390890</v>
      </c>
      <c r="C54" s="9" t="s">
        <v>47</v>
      </c>
      <c r="D54" s="87"/>
      <c r="E54" s="52">
        <v>0</v>
      </c>
      <c r="F54" s="53">
        <f t="shared" si="20"/>
        <v>0</v>
      </c>
      <c r="G54" s="52">
        <v>0</v>
      </c>
      <c r="H54" s="53">
        <f t="shared" si="21"/>
        <v>0</v>
      </c>
      <c r="I54" s="10">
        <v>10660</v>
      </c>
      <c r="J54" s="109">
        <f t="shared" si="22"/>
        <v>5794.7759999999998</v>
      </c>
      <c r="K54" s="52">
        <v>0</v>
      </c>
      <c r="L54" s="53">
        <f t="shared" si="23"/>
        <v>0</v>
      </c>
      <c r="M54" s="10"/>
      <c r="N54" s="13">
        <f t="shared" si="24"/>
        <v>0</v>
      </c>
      <c r="O54" s="10"/>
      <c r="P54" s="13">
        <f t="shared" si="25"/>
        <v>0</v>
      </c>
      <c r="Q54" s="110">
        <v>0</v>
      </c>
      <c r="R54" s="53">
        <f t="shared" si="26"/>
        <v>0</v>
      </c>
      <c r="S54" s="53">
        <f t="shared" si="27"/>
        <v>5794.7759999999998</v>
      </c>
      <c r="T54" s="100"/>
    </row>
    <row r="55" spans="1:20" s="14" customFormat="1" x14ac:dyDescent="0.25">
      <c r="A55" s="7">
        <v>11</v>
      </c>
      <c r="B55" s="8">
        <v>390200</v>
      </c>
      <c r="C55" s="12" t="s">
        <v>19</v>
      </c>
      <c r="D55" s="75"/>
      <c r="E55" s="52">
        <v>0</v>
      </c>
      <c r="F55" s="53">
        <f t="shared" si="20"/>
        <v>0</v>
      </c>
      <c r="G55" s="52">
        <v>0</v>
      </c>
      <c r="H55" s="53">
        <f t="shared" si="21"/>
        <v>0</v>
      </c>
      <c r="I55" s="10">
        <v>124</v>
      </c>
      <c r="J55" s="109">
        <f t="shared" si="22"/>
        <v>67.406400000000005</v>
      </c>
      <c r="K55" s="52">
        <v>430</v>
      </c>
      <c r="L55" s="53">
        <f t="shared" si="23"/>
        <v>428.62400000000002</v>
      </c>
      <c r="M55" s="10"/>
      <c r="N55" s="13">
        <f t="shared" si="24"/>
        <v>0</v>
      </c>
      <c r="O55" s="10"/>
      <c r="P55" s="13">
        <f t="shared" si="25"/>
        <v>0</v>
      </c>
      <c r="Q55" s="110">
        <v>0</v>
      </c>
      <c r="R55" s="53">
        <f t="shared" si="26"/>
        <v>0</v>
      </c>
      <c r="S55" s="53">
        <f t="shared" si="27"/>
        <v>496.03040000000004</v>
      </c>
      <c r="T55" s="100"/>
    </row>
    <row r="56" spans="1:20" s="14" customFormat="1" x14ac:dyDescent="0.25">
      <c r="A56" s="7">
        <v>12</v>
      </c>
      <c r="B56" s="8">
        <v>390160</v>
      </c>
      <c r="C56" s="12" t="s">
        <v>20</v>
      </c>
      <c r="D56" s="75"/>
      <c r="E56" s="52">
        <v>0</v>
      </c>
      <c r="F56" s="53">
        <f t="shared" si="20"/>
        <v>0</v>
      </c>
      <c r="G56" s="52">
        <v>0</v>
      </c>
      <c r="H56" s="53">
        <f t="shared" si="21"/>
        <v>0</v>
      </c>
      <c r="I56" s="10">
        <v>1468</v>
      </c>
      <c r="J56" s="109">
        <f t="shared" si="22"/>
        <v>798.00480000000005</v>
      </c>
      <c r="K56" s="52">
        <v>716</v>
      </c>
      <c r="L56" s="53">
        <f t="shared" si="23"/>
        <v>713.7088</v>
      </c>
      <c r="M56" s="10"/>
      <c r="N56" s="13">
        <f t="shared" si="24"/>
        <v>0</v>
      </c>
      <c r="O56" s="10"/>
      <c r="P56" s="13">
        <f t="shared" si="25"/>
        <v>0</v>
      </c>
      <c r="Q56" s="110">
        <v>0</v>
      </c>
      <c r="R56" s="53">
        <f t="shared" si="26"/>
        <v>0</v>
      </c>
      <c r="S56" s="53">
        <f t="shared" si="27"/>
        <v>1511.7136</v>
      </c>
      <c r="T56" s="100"/>
    </row>
    <row r="57" spans="1:20" s="14" customFormat="1" x14ac:dyDescent="0.25">
      <c r="A57" s="7">
        <v>13</v>
      </c>
      <c r="B57" s="8">
        <v>390210</v>
      </c>
      <c r="C57" s="12" t="s">
        <v>21</v>
      </c>
      <c r="D57" s="75"/>
      <c r="E57" s="52">
        <v>0</v>
      </c>
      <c r="F57" s="53">
        <f t="shared" si="20"/>
        <v>0</v>
      </c>
      <c r="G57" s="52">
        <v>0</v>
      </c>
      <c r="H57" s="53">
        <f t="shared" si="21"/>
        <v>0</v>
      </c>
      <c r="I57" s="10"/>
      <c r="J57" s="109">
        <f t="shared" si="22"/>
        <v>0</v>
      </c>
      <c r="K57" s="52">
        <v>903</v>
      </c>
      <c r="L57" s="53">
        <f t="shared" si="23"/>
        <v>900.11040000000003</v>
      </c>
      <c r="M57" s="10"/>
      <c r="N57" s="13">
        <f t="shared" si="24"/>
        <v>0</v>
      </c>
      <c r="O57" s="10"/>
      <c r="P57" s="13">
        <f t="shared" si="25"/>
        <v>0</v>
      </c>
      <c r="Q57" s="110">
        <v>0</v>
      </c>
      <c r="R57" s="53">
        <f t="shared" si="26"/>
        <v>0</v>
      </c>
      <c r="S57" s="53">
        <f t="shared" si="27"/>
        <v>900.11040000000003</v>
      </c>
      <c r="T57" s="100"/>
    </row>
    <row r="58" spans="1:20" s="14" customFormat="1" x14ac:dyDescent="0.25">
      <c r="A58" s="7">
        <v>14</v>
      </c>
      <c r="B58" s="8">
        <v>390220</v>
      </c>
      <c r="C58" s="12" t="s">
        <v>100</v>
      </c>
      <c r="D58" s="75"/>
      <c r="E58" s="52">
        <v>0</v>
      </c>
      <c r="F58" s="53">
        <f t="shared" si="20"/>
        <v>0</v>
      </c>
      <c r="G58" s="52">
        <v>0</v>
      </c>
      <c r="H58" s="53">
        <f t="shared" si="21"/>
        <v>0</v>
      </c>
      <c r="I58" s="10">
        <v>1000</v>
      </c>
      <c r="J58" s="109">
        <f t="shared" si="22"/>
        <v>543.6</v>
      </c>
      <c r="K58" s="52">
        <v>716</v>
      </c>
      <c r="L58" s="53">
        <f t="shared" si="23"/>
        <v>713.7088</v>
      </c>
      <c r="M58" s="10"/>
      <c r="N58" s="13">
        <f t="shared" si="24"/>
        <v>0</v>
      </c>
      <c r="O58" s="10"/>
      <c r="P58" s="13">
        <f t="shared" si="25"/>
        <v>0</v>
      </c>
      <c r="Q58" s="110">
        <v>0</v>
      </c>
      <c r="R58" s="53">
        <f t="shared" si="26"/>
        <v>0</v>
      </c>
      <c r="S58" s="53">
        <f t="shared" si="27"/>
        <v>1257.3088</v>
      </c>
      <c r="T58" s="100"/>
    </row>
    <row r="59" spans="1:20" s="14" customFormat="1" x14ac:dyDescent="0.25">
      <c r="A59" s="7">
        <v>15</v>
      </c>
      <c r="B59" s="8">
        <v>390230</v>
      </c>
      <c r="C59" s="12" t="s">
        <v>23</v>
      </c>
      <c r="D59" s="75"/>
      <c r="E59" s="52">
        <v>1946</v>
      </c>
      <c r="F59" s="53">
        <f t="shared" si="20"/>
        <v>5238.8266000000003</v>
      </c>
      <c r="G59" s="52">
        <v>0</v>
      </c>
      <c r="H59" s="53">
        <f t="shared" si="21"/>
        <v>0</v>
      </c>
      <c r="I59" s="10">
        <v>1300</v>
      </c>
      <c r="J59" s="109">
        <f t="shared" si="22"/>
        <v>706.68</v>
      </c>
      <c r="K59" s="52">
        <v>645</v>
      </c>
      <c r="L59" s="53">
        <f t="shared" si="23"/>
        <v>642.93600000000004</v>
      </c>
      <c r="M59" s="10"/>
      <c r="N59" s="13">
        <f t="shared" si="24"/>
        <v>0</v>
      </c>
      <c r="O59" s="10"/>
      <c r="P59" s="13">
        <f t="shared" si="25"/>
        <v>0</v>
      </c>
      <c r="Q59" s="110">
        <v>0</v>
      </c>
      <c r="R59" s="53">
        <f t="shared" si="26"/>
        <v>0</v>
      </c>
      <c r="S59" s="53">
        <f t="shared" si="27"/>
        <v>6588.4426000000003</v>
      </c>
      <c r="T59" s="100"/>
    </row>
    <row r="60" spans="1:20" s="14" customFormat="1" x14ac:dyDescent="0.25">
      <c r="A60" s="7">
        <v>16</v>
      </c>
      <c r="B60" s="8">
        <v>390240</v>
      </c>
      <c r="C60" s="12" t="s">
        <v>24</v>
      </c>
      <c r="D60" s="75"/>
      <c r="E60" s="52">
        <v>830</v>
      </c>
      <c r="F60" s="53">
        <f t="shared" si="20"/>
        <v>2234.4430000000002</v>
      </c>
      <c r="G60" s="52">
        <v>0</v>
      </c>
      <c r="H60" s="53">
        <f t="shared" si="21"/>
        <v>0</v>
      </c>
      <c r="I60" s="10">
        <v>2305</v>
      </c>
      <c r="J60" s="109">
        <f t="shared" si="22"/>
        <v>1252.998</v>
      </c>
      <c r="K60" s="52">
        <v>1433</v>
      </c>
      <c r="L60" s="53">
        <f t="shared" si="23"/>
        <v>1428.4143999999999</v>
      </c>
      <c r="M60" s="10"/>
      <c r="N60" s="13">
        <f t="shared" si="24"/>
        <v>0</v>
      </c>
      <c r="O60" s="10"/>
      <c r="P60" s="13">
        <f t="shared" si="25"/>
        <v>0</v>
      </c>
      <c r="Q60" s="110">
        <v>0</v>
      </c>
      <c r="R60" s="53">
        <f t="shared" si="26"/>
        <v>0</v>
      </c>
      <c r="S60" s="53">
        <f t="shared" si="27"/>
        <v>4915.8554000000004</v>
      </c>
      <c r="T60" s="100"/>
    </row>
    <row r="61" spans="1:20" s="14" customFormat="1" x14ac:dyDescent="0.25">
      <c r="A61" s="7">
        <v>17</v>
      </c>
      <c r="B61" s="8">
        <v>390290</v>
      </c>
      <c r="C61" s="12" t="s">
        <v>25</v>
      </c>
      <c r="D61" s="75"/>
      <c r="E61" s="52">
        <v>0</v>
      </c>
      <c r="F61" s="53">
        <f t="shared" si="20"/>
        <v>0</v>
      </c>
      <c r="G61" s="52">
        <v>0</v>
      </c>
      <c r="H61" s="53">
        <f t="shared" si="21"/>
        <v>0</v>
      </c>
      <c r="I61" s="10">
        <v>565</v>
      </c>
      <c r="J61" s="109">
        <f t="shared" si="22"/>
        <v>307.13400000000001</v>
      </c>
      <c r="K61" s="52">
        <v>573</v>
      </c>
      <c r="L61" s="53">
        <f t="shared" si="23"/>
        <v>571.16639999999995</v>
      </c>
      <c r="M61" s="10"/>
      <c r="N61" s="13">
        <f t="shared" si="24"/>
        <v>0</v>
      </c>
      <c r="O61" s="10"/>
      <c r="P61" s="13">
        <f t="shared" si="25"/>
        <v>0</v>
      </c>
      <c r="Q61" s="110">
        <v>0</v>
      </c>
      <c r="R61" s="53">
        <f t="shared" si="26"/>
        <v>0</v>
      </c>
      <c r="S61" s="53">
        <f t="shared" si="27"/>
        <v>878.30039999999997</v>
      </c>
      <c r="T61" s="100"/>
    </row>
    <row r="62" spans="1:20" s="14" customFormat="1" x14ac:dyDescent="0.25">
      <c r="A62" s="7">
        <v>18</v>
      </c>
      <c r="B62" s="8">
        <v>390370</v>
      </c>
      <c r="C62" s="12" t="s">
        <v>27</v>
      </c>
      <c r="D62" s="75"/>
      <c r="E62" s="52">
        <v>0</v>
      </c>
      <c r="F62" s="53">
        <f t="shared" si="20"/>
        <v>0</v>
      </c>
      <c r="G62" s="52">
        <v>0</v>
      </c>
      <c r="H62" s="53">
        <f t="shared" si="21"/>
        <v>0</v>
      </c>
      <c r="I62" s="10"/>
      <c r="J62" s="109">
        <f t="shared" si="22"/>
        <v>0</v>
      </c>
      <c r="K62" s="52">
        <v>287</v>
      </c>
      <c r="L62" s="53">
        <f t="shared" si="23"/>
        <v>286.08159999999998</v>
      </c>
      <c r="M62" s="10"/>
      <c r="N62" s="13">
        <f t="shared" si="24"/>
        <v>0</v>
      </c>
      <c r="O62" s="10"/>
      <c r="P62" s="13">
        <f t="shared" si="25"/>
        <v>0</v>
      </c>
      <c r="Q62" s="110">
        <v>0</v>
      </c>
      <c r="R62" s="53">
        <f t="shared" si="26"/>
        <v>0</v>
      </c>
      <c r="S62" s="53">
        <f t="shared" si="27"/>
        <v>286.08159999999998</v>
      </c>
      <c r="T62" s="100"/>
    </row>
    <row r="63" spans="1:20" s="14" customFormat="1" outlineLevel="1" x14ac:dyDescent="0.25">
      <c r="A63" s="7"/>
      <c r="B63" s="8">
        <v>390260</v>
      </c>
      <c r="C63" s="12" t="s">
        <v>29</v>
      </c>
      <c r="D63" s="75"/>
      <c r="E63" s="52">
        <v>0</v>
      </c>
      <c r="F63" s="53">
        <f t="shared" si="20"/>
        <v>0</v>
      </c>
      <c r="G63" s="52">
        <v>0</v>
      </c>
      <c r="H63" s="53">
        <f t="shared" si="21"/>
        <v>0</v>
      </c>
      <c r="I63" s="10"/>
      <c r="J63" s="109">
        <f t="shared" si="22"/>
        <v>0</v>
      </c>
      <c r="K63" s="52">
        <v>0</v>
      </c>
      <c r="L63" s="53">
        <f t="shared" si="23"/>
        <v>0</v>
      </c>
      <c r="M63" s="10"/>
      <c r="N63" s="13">
        <f t="shared" si="24"/>
        <v>0</v>
      </c>
      <c r="O63" s="10"/>
      <c r="P63" s="13">
        <f t="shared" si="25"/>
        <v>0</v>
      </c>
      <c r="Q63" s="110">
        <v>0</v>
      </c>
      <c r="R63" s="53">
        <f t="shared" si="26"/>
        <v>0</v>
      </c>
      <c r="S63" s="53">
        <f t="shared" si="27"/>
        <v>0</v>
      </c>
      <c r="T63" s="100"/>
    </row>
    <row r="64" spans="1:20" s="14" customFormat="1" x14ac:dyDescent="0.25">
      <c r="A64" s="7">
        <v>19</v>
      </c>
      <c r="B64" s="15">
        <v>390480</v>
      </c>
      <c r="C64" s="17" t="s">
        <v>28</v>
      </c>
      <c r="D64" s="87"/>
      <c r="E64" s="52">
        <v>671</v>
      </c>
      <c r="F64" s="53">
        <f t="shared" si="20"/>
        <v>1806.3991000000001</v>
      </c>
      <c r="G64" s="52">
        <v>1477</v>
      </c>
      <c r="H64" s="53">
        <f t="shared" si="21"/>
        <v>5429.3042999999998</v>
      </c>
      <c r="I64" s="10">
        <v>1590</v>
      </c>
      <c r="J64" s="109">
        <f t="shared" si="22"/>
        <v>864.32399999999996</v>
      </c>
      <c r="K64" s="52">
        <v>1433</v>
      </c>
      <c r="L64" s="53">
        <f t="shared" si="23"/>
        <v>1428.4143999999999</v>
      </c>
      <c r="M64" s="10"/>
      <c r="N64" s="13">
        <f t="shared" si="24"/>
        <v>0</v>
      </c>
      <c r="O64" s="10"/>
      <c r="P64" s="13">
        <f t="shared" si="25"/>
        <v>0</v>
      </c>
      <c r="Q64" s="110">
        <v>0</v>
      </c>
      <c r="R64" s="53">
        <f t="shared" si="26"/>
        <v>0</v>
      </c>
      <c r="S64" s="53">
        <f t="shared" si="27"/>
        <v>9528.4418000000005</v>
      </c>
      <c r="T64" s="100"/>
    </row>
    <row r="65" spans="1:20" s="14" customFormat="1" x14ac:dyDescent="0.25">
      <c r="A65" s="7">
        <v>20</v>
      </c>
      <c r="B65" s="15">
        <v>390250</v>
      </c>
      <c r="C65" s="16" t="s">
        <v>30</v>
      </c>
      <c r="D65" s="75"/>
      <c r="E65" s="52">
        <v>0</v>
      </c>
      <c r="F65" s="53">
        <f t="shared" si="20"/>
        <v>0</v>
      </c>
      <c r="G65" s="52">
        <v>0</v>
      </c>
      <c r="H65" s="53">
        <f t="shared" si="21"/>
        <v>0</v>
      </c>
      <c r="I65" s="10"/>
      <c r="J65" s="109">
        <f t="shared" si="22"/>
        <v>0</v>
      </c>
      <c r="K65" s="52">
        <v>430</v>
      </c>
      <c r="L65" s="53">
        <f t="shared" si="23"/>
        <v>428.62400000000002</v>
      </c>
      <c r="M65" s="10"/>
      <c r="N65" s="13">
        <f t="shared" si="24"/>
        <v>0</v>
      </c>
      <c r="O65" s="10"/>
      <c r="P65" s="13">
        <f t="shared" si="25"/>
        <v>0</v>
      </c>
      <c r="Q65" s="110">
        <v>0</v>
      </c>
      <c r="R65" s="53">
        <f t="shared" si="26"/>
        <v>0</v>
      </c>
      <c r="S65" s="53">
        <f t="shared" si="27"/>
        <v>428.62400000000002</v>
      </c>
      <c r="T65" s="100"/>
    </row>
    <row r="66" spans="1:20" s="14" customFormat="1" x14ac:dyDescent="0.25">
      <c r="A66" s="7">
        <v>21</v>
      </c>
      <c r="B66" s="15">
        <v>390300</v>
      </c>
      <c r="C66" s="16" t="s">
        <v>31</v>
      </c>
      <c r="D66" s="75"/>
      <c r="E66" s="52">
        <v>0</v>
      </c>
      <c r="F66" s="53">
        <f t="shared" si="20"/>
        <v>0</v>
      </c>
      <c r="G66" s="52">
        <v>0</v>
      </c>
      <c r="H66" s="53">
        <f t="shared" si="21"/>
        <v>0</v>
      </c>
      <c r="I66" s="10">
        <v>1000</v>
      </c>
      <c r="J66" s="109">
        <f t="shared" si="22"/>
        <v>543.6</v>
      </c>
      <c r="K66" s="52">
        <v>573</v>
      </c>
      <c r="L66" s="53">
        <f t="shared" si="23"/>
        <v>571.16639999999995</v>
      </c>
      <c r="M66" s="10"/>
      <c r="N66" s="13">
        <f t="shared" si="24"/>
        <v>0</v>
      </c>
      <c r="O66" s="10"/>
      <c r="P66" s="13">
        <f t="shared" si="25"/>
        <v>0</v>
      </c>
      <c r="Q66" s="110">
        <v>0</v>
      </c>
      <c r="R66" s="53">
        <f t="shared" si="26"/>
        <v>0</v>
      </c>
      <c r="S66" s="53">
        <f t="shared" si="27"/>
        <v>1114.7664</v>
      </c>
      <c r="T66" s="100"/>
    </row>
    <row r="67" spans="1:20" s="14" customFormat="1" outlineLevel="1" x14ac:dyDescent="0.25">
      <c r="A67" s="7">
        <v>22</v>
      </c>
      <c r="B67" s="15">
        <v>390310</v>
      </c>
      <c r="C67" s="16" t="s">
        <v>32</v>
      </c>
      <c r="D67" s="75"/>
      <c r="E67" s="52">
        <v>0</v>
      </c>
      <c r="F67" s="53">
        <f t="shared" si="20"/>
        <v>0</v>
      </c>
      <c r="G67" s="52">
        <v>0</v>
      </c>
      <c r="H67" s="53">
        <f t="shared" si="21"/>
        <v>0</v>
      </c>
      <c r="I67" s="10"/>
      <c r="J67" s="109">
        <f t="shared" si="22"/>
        <v>0</v>
      </c>
      <c r="K67" s="52">
        <v>530</v>
      </c>
      <c r="L67" s="53">
        <f t="shared" si="23"/>
        <v>528.30399999999997</v>
      </c>
      <c r="M67" s="10"/>
      <c r="N67" s="13">
        <f t="shared" si="24"/>
        <v>0</v>
      </c>
      <c r="O67" s="10"/>
      <c r="P67" s="13">
        <f t="shared" si="25"/>
        <v>0</v>
      </c>
      <c r="Q67" s="110">
        <v>0</v>
      </c>
      <c r="R67" s="53">
        <f t="shared" si="26"/>
        <v>0</v>
      </c>
      <c r="S67" s="53">
        <f t="shared" si="27"/>
        <v>528.30399999999997</v>
      </c>
      <c r="T67" s="100"/>
    </row>
    <row r="68" spans="1:20" s="14" customFormat="1" x14ac:dyDescent="0.25">
      <c r="A68" s="7">
        <v>23</v>
      </c>
      <c r="B68" s="15">
        <v>390320</v>
      </c>
      <c r="C68" s="16" t="s">
        <v>33</v>
      </c>
      <c r="D68" s="75"/>
      <c r="E68" s="52">
        <v>0</v>
      </c>
      <c r="F68" s="53">
        <f t="shared" si="20"/>
        <v>0</v>
      </c>
      <c r="G68" s="52">
        <v>0</v>
      </c>
      <c r="H68" s="53">
        <f t="shared" si="21"/>
        <v>0</v>
      </c>
      <c r="I68" s="10">
        <v>1992</v>
      </c>
      <c r="J68" s="109">
        <f t="shared" si="22"/>
        <v>1082.8512000000001</v>
      </c>
      <c r="K68" s="52">
        <v>716</v>
      </c>
      <c r="L68" s="53">
        <f t="shared" si="23"/>
        <v>713.7088</v>
      </c>
      <c r="M68" s="10"/>
      <c r="N68" s="13">
        <f t="shared" si="24"/>
        <v>0</v>
      </c>
      <c r="O68" s="10"/>
      <c r="P68" s="13">
        <f t="shared" si="25"/>
        <v>0</v>
      </c>
      <c r="Q68" s="110">
        <v>0</v>
      </c>
      <c r="R68" s="53">
        <f t="shared" si="26"/>
        <v>0</v>
      </c>
      <c r="S68" s="53">
        <f t="shared" si="27"/>
        <v>1796.56</v>
      </c>
      <c r="T68" s="100"/>
    </row>
    <row r="69" spans="1:20" s="14" customFormat="1" x14ac:dyDescent="0.25">
      <c r="A69" s="7">
        <v>24</v>
      </c>
      <c r="B69" s="15">
        <v>390180</v>
      </c>
      <c r="C69" s="16" t="s">
        <v>102</v>
      </c>
      <c r="D69" s="75"/>
      <c r="E69" s="52">
        <v>0</v>
      </c>
      <c r="F69" s="53">
        <f t="shared" si="20"/>
        <v>0</v>
      </c>
      <c r="G69" s="52">
        <v>0</v>
      </c>
      <c r="H69" s="53">
        <f t="shared" si="21"/>
        <v>0</v>
      </c>
      <c r="I69" s="10">
        <v>1000</v>
      </c>
      <c r="J69" s="109">
        <f t="shared" si="22"/>
        <v>543.6</v>
      </c>
      <c r="K69" s="52">
        <v>860</v>
      </c>
      <c r="L69" s="53">
        <f t="shared" si="23"/>
        <v>857.24800000000005</v>
      </c>
      <c r="M69" s="10"/>
      <c r="N69" s="13">
        <f t="shared" si="24"/>
        <v>0</v>
      </c>
      <c r="O69" s="10"/>
      <c r="P69" s="13">
        <f t="shared" si="25"/>
        <v>0</v>
      </c>
      <c r="Q69" s="110">
        <v>0</v>
      </c>
      <c r="R69" s="53">
        <f t="shared" si="26"/>
        <v>0</v>
      </c>
      <c r="S69" s="53">
        <f t="shared" si="27"/>
        <v>1400.848</v>
      </c>
      <c r="T69" s="100"/>
    </row>
    <row r="70" spans="1:20" s="14" customFormat="1" x14ac:dyDescent="0.25">
      <c r="A70" s="7">
        <v>25</v>
      </c>
      <c r="B70" s="15">
        <v>390270</v>
      </c>
      <c r="C70" s="16" t="s">
        <v>34</v>
      </c>
      <c r="D70" s="75"/>
      <c r="E70" s="52">
        <v>0</v>
      </c>
      <c r="F70" s="53">
        <f t="shared" si="20"/>
        <v>0</v>
      </c>
      <c r="G70" s="52">
        <v>0</v>
      </c>
      <c r="H70" s="53">
        <f t="shared" si="21"/>
        <v>0</v>
      </c>
      <c r="I70" s="10">
        <v>1672</v>
      </c>
      <c r="J70" s="109">
        <f t="shared" si="22"/>
        <v>908.89919999999995</v>
      </c>
      <c r="K70" s="52">
        <v>573</v>
      </c>
      <c r="L70" s="53">
        <f t="shared" si="23"/>
        <v>571.16639999999995</v>
      </c>
      <c r="M70" s="10"/>
      <c r="N70" s="13">
        <f t="shared" si="24"/>
        <v>0</v>
      </c>
      <c r="O70" s="10"/>
      <c r="P70" s="13">
        <f t="shared" si="25"/>
        <v>0</v>
      </c>
      <c r="Q70" s="110">
        <v>0</v>
      </c>
      <c r="R70" s="53">
        <f t="shared" si="26"/>
        <v>0</v>
      </c>
      <c r="S70" s="53">
        <f t="shared" si="27"/>
        <v>1480.0655999999999</v>
      </c>
      <c r="T70" s="100"/>
    </row>
    <row r="71" spans="1:20" s="14" customFormat="1" x14ac:dyDescent="0.25">
      <c r="A71" s="7">
        <v>26</v>
      </c>
      <c r="B71" s="15">
        <v>390190</v>
      </c>
      <c r="C71" s="16" t="s">
        <v>35</v>
      </c>
      <c r="D71" s="75"/>
      <c r="E71" s="52">
        <v>2013</v>
      </c>
      <c r="F71" s="53">
        <f t="shared" si="20"/>
        <v>5419.1972999999998</v>
      </c>
      <c r="G71" s="52">
        <v>0</v>
      </c>
      <c r="H71" s="53">
        <f t="shared" si="21"/>
        <v>0</v>
      </c>
      <c r="I71" s="10">
        <v>4500</v>
      </c>
      <c r="J71" s="109">
        <f t="shared" si="22"/>
        <v>2446.1999999999998</v>
      </c>
      <c r="K71" s="52">
        <v>2579</v>
      </c>
      <c r="L71" s="53">
        <f t="shared" si="23"/>
        <v>2570.7471999999998</v>
      </c>
      <c r="M71" s="10"/>
      <c r="N71" s="13">
        <f t="shared" si="24"/>
        <v>0</v>
      </c>
      <c r="O71" s="10"/>
      <c r="P71" s="13">
        <f t="shared" si="25"/>
        <v>0</v>
      </c>
      <c r="Q71" s="110">
        <v>0</v>
      </c>
      <c r="R71" s="53">
        <f t="shared" si="26"/>
        <v>0</v>
      </c>
      <c r="S71" s="53">
        <f t="shared" si="27"/>
        <v>10436.144499999999</v>
      </c>
      <c r="T71" s="100"/>
    </row>
    <row r="72" spans="1:20" s="14" customFormat="1" x14ac:dyDescent="0.25">
      <c r="A72" s="7">
        <v>27</v>
      </c>
      <c r="B72" s="15">
        <v>390280</v>
      </c>
      <c r="C72" s="16" t="s">
        <v>36</v>
      </c>
      <c r="D72" s="75"/>
      <c r="E72" s="52">
        <v>671</v>
      </c>
      <c r="F72" s="53">
        <f t="shared" si="20"/>
        <v>1806.3991000000001</v>
      </c>
      <c r="G72" s="52">
        <v>0</v>
      </c>
      <c r="H72" s="53">
        <f t="shared" si="21"/>
        <v>0</v>
      </c>
      <c r="I72" s="10">
        <v>1525</v>
      </c>
      <c r="J72" s="109">
        <f t="shared" si="22"/>
        <v>828.99</v>
      </c>
      <c r="K72" s="52">
        <v>1003</v>
      </c>
      <c r="L72" s="53">
        <f t="shared" si="23"/>
        <v>999.79039999999998</v>
      </c>
      <c r="M72" s="10"/>
      <c r="N72" s="13">
        <f t="shared" si="24"/>
        <v>0</v>
      </c>
      <c r="O72" s="10"/>
      <c r="P72" s="13">
        <f t="shared" si="25"/>
        <v>0</v>
      </c>
      <c r="Q72" s="110">
        <v>0</v>
      </c>
      <c r="R72" s="53">
        <f t="shared" si="26"/>
        <v>0</v>
      </c>
      <c r="S72" s="53">
        <f t="shared" si="27"/>
        <v>3635.1795000000002</v>
      </c>
      <c r="T72" s="100"/>
    </row>
    <row r="73" spans="1:20" s="14" customFormat="1" ht="31.5" x14ac:dyDescent="0.25">
      <c r="A73" s="7">
        <v>28</v>
      </c>
      <c r="B73" s="15">
        <v>391610</v>
      </c>
      <c r="C73" s="35" t="s">
        <v>48</v>
      </c>
      <c r="D73" s="86"/>
      <c r="E73" s="102">
        <v>7383</v>
      </c>
      <c r="F73" s="53">
        <f t="shared" si="20"/>
        <v>19875.774300000001</v>
      </c>
      <c r="G73" s="52">
        <v>2142</v>
      </c>
      <c r="H73" s="53">
        <f t="shared" si="21"/>
        <v>7873.7777999999998</v>
      </c>
      <c r="I73" s="10">
        <v>7500</v>
      </c>
      <c r="J73" s="109">
        <f t="shared" si="22"/>
        <v>4077</v>
      </c>
      <c r="K73" s="52">
        <v>430</v>
      </c>
      <c r="L73" s="53">
        <f t="shared" si="23"/>
        <v>428.62400000000002</v>
      </c>
      <c r="M73" s="10"/>
      <c r="N73" s="13">
        <f t="shared" si="24"/>
        <v>0</v>
      </c>
      <c r="O73" s="10"/>
      <c r="P73" s="13">
        <f t="shared" si="25"/>
        <v>0</v>
      </c>
      <c r="Q73" s="110">
        <v>0</v>
      </c>
      <c r="R73" s="53">
        <f t="shared" si="26"/>
        <v>0</v>
      </c>
      <c r="S73" s="53">
        <f t="shared" si="27"/>
        <v>32255.176100000001</v>
      </c>
      <c r="T73" s="100"/>
    </row>
    <row r="74" spans="1:20" s="14" customFormat="1" ht="31.5" x14ac:dyDescent="0.25">
      <c r="A74" s="7">
        <v>29</v>
      </c>
      <c r="B74" s="15">
        <v>390600</v>
      </c>
      <c r="C74" s="17" t="s">
        <v>37</v>
      </c>
      <c r="D74" s="87"/>
      <c r="E74" s="102">
        <v>67</v>
      </c>
      <c r="F74" s="53">
        <f t="shared" si="20"/>
        <v>180.3707</v>
      </c>
      <c r="G74" s="52">
        <v>0</v>
      </c>
      <c r="H74" s="53">
        <f t="shared" si="21"/>
        <v>0</v>
      </c>
      <c r="I74" s="10">
        <v>838</v>
      </c>
      <c r="J74" s="109">
        <f t="shared" si="22"/>
        <v>455.53680000000003</v>
      </c>
      <c r="K74" s="52">
        <v>287</v>
      </c>
      <c r="L74" s="53">
        <f t="shared" si="23"/>
        <v>286.08159999999998</v>
      </c>
      <c r="M74" s="10">
        <v>3</v>
      </c>
      <c r="N74" s="13">
        <f t="shared" si="24"/>
        <v>25.113299999999999</v>
      </c>
      <c r="O74" s="10">
        <v>86</v>
      </c>
      <c r="P74" s="13">
        <f t="shared" si="25"/>
        <v>177.547</v>
      </c>
      <c r="Q74" s="110">
        <v>45</v>
      </c>
      <c r="R74" s="53">
        <f t="shared" si="26"/>
        <v>17.981999999999999</v>
      </c>
      <c r="S74" s="53">
        <f t="shared" si="27"/>
        <v>1142.6314</v>
      </c>
      <c r="T74" s="100"/>
    </row>
    <row r="75" spans="1:20" s="14" customFormat="1" x14ac:dyDescent="0.25">
      <c r="A75" s="7">
        <v>30</v>
      </c>
      <c r="B75" s="15">
        <v>390340</v>
      </c>
      <c r="C75" s="17" t="s">
        <v>38</v>
      </c>
      <c r="D75" s="87"/>
      <c r="E75" s="102">
        <v>1745</v>
      </c>
      <c r="F75" s="53">
        <f t="shared" si="20"/>
        <v>4697.7145</v>
      </c>
      <c r="G75" s="52">
        <v>0</v>
      </c>
      <c r="H75" s="53">
        <f t="shared" si="21"/>
        <v>0</v>
      </c>
      <c r="I75" s="10">
        <v>5445</v>
      </c>
      <c r="J75" s="109">
        <f t="shared" si="22"/>
        <v>2959.902</v>
      </c>
      <c r="K75" s="52">
        <v>1290</v>
      </c>
      <c r="L75" s="53">
        <f t="shared" si="23"/>
        <v>1285.8720000000001</v>
      </c>
      <c r="M75" s="10"/>
      <c r="N75" s="13">
        <f t="shared" si="24"/>
        <v>0</v>
      </c>
      <c r="O75" s="10"/>
      <c r="P75" s="13">
        <f t="shared" si="25"/>
        <v>0</v>
      </c>
      <c r="Q75" s="110">
        <v>0</v>
      </c>
      <c r="R75" s="53">
        <f t="shared" si="26"/>
        <v>0</v>
      </c>
      <c r="S75" s="53">
        <f t="shared" si="27"/>
        <v>8943.4884999999995</v>
      </c>
      <c r="T75" s="100"/>
    </row>
    <row r="76" spans="1:20" s="14" customFormat="1" ht="31.5" x14ac:dyDescent="0.25">
      <c r="A76" s="7">
        <v>31</v>
      </c>
      <c r="B76" s="15">
        <v>391930</v>
      </c>
      <c r="C76" s="35" t="s">
        <v>49</v>
      </c>
      <c r="D76" s="86"/>
      <c r="E76" s="52">
        <v>0</v>
      </c>
      <c r="F76" s="53">
        <f t="shared" si="20"/>
        <v>0</v>
      </c>
      <c r="G76" s="52">
        <v>0</v>
      </c>
      <c r="H76" s="53">
        <f t="shared" si="21"/>
        <v>0</v>
      </c>
      <c r="I76" s="10"/>
      <c r="J76" s="109">
        <f t="shared" si="22"/>
        <v>0</v>
      </c>
      <c r="K76" s="52">
        <v>0</v>
      </c>
      <c r="L76" s="53">
        <f t="shared" si="23"/>
        <v>0</v>
      </c>
      <c r="M76" s="10">
        <v>300</v>
      </c>
      <c r="N76" s="13">
        <f t="shared" si="24"/>
        <v>2511.33</v>
      </c>
      <c r="O76" s="10"/>
      <c r="P76" s="13">
        <f t="shared" si="25"/>
        <v>0</v>
      </c>
      <c r="Q76" s="110">
        <v>0</v>
      </c>
      <c r="R76" s="53">
        <f t="shared" si="26"/>
        <v>0</v>
      </c>
      <c r="S76" s="53">
        <f t="shared" si="27"/>
        <v>2511.33</v>
      </c>
      <c r="T76" s="100"/>
    </row>
    <row r="77" spans="1:20" s="14" customFormat="1" x14ac:dyDescent="0.25">
      <c r="A77" s="7">
        <v>32</v>
      </c>
      <c r="B77" s="15">
        <v>391970</v>
      </c>
      <c r="C77" s="35" t="s">
        <v>50</v>
      </c>
      <c r="D77" s="86"/>
      <c r="E77" s="52">
        <v>403</v>
      </c>
      <c r="F77" s="53">
        <f t="shared" si="20"/>
        <v>1084.9163000000001</v>
      </c>
      <c r="G77" s="52">
        <v>428</v>
      </c>
      <c r="H77" s="53">
        <f t="shared" si="21"/>
        <v>1573.2852</v>
      </c>
      <c r="I77" s="21"/>
      <c r="J77" s="109">
        <f t="shared" si="22"/>
        <v>0</v>
      </c>
      <c r="K77" s="52">
        <v>0</v>
      </c>
      <c r="L77" s="53">
        <f t="shared" si="23"/>
        <v>0</v>
      </c>
      <c r="M77" s="21"/>
      <c r="N77" s="13">
        <f t="shared" si="24"/>
        <v>0</v>
      </c>
      <c r="O77" s="21"/>
      <c r="P77" s="13">
        <f t="shared" si="25"/>
        <v>0</v>
      </c>
      <c r="Q77" s="110">
        <v>0</v>
      </c>
      <c r="R77" s="53">
        <f t="shared" si="26"/>
        <v>0</v>
      </c>
      <c r="S77" s="53">
        <f t="shared" si="27"/>
        <v>2658.2015000000001</v>
      </c>
      <c r="T77" s="100"/>
    </row>
    <row r="78" spans="1:20" s="14" customFormat="1" x14ac:dyDescent="0.25">
      <c r="A78" s="7">
        <v>33</v>
      </c>
      <c r="B78" s="15">
        <v>391492</v>
      </c>
      <c r="C78" s="35" t="s">
        <v>93</v>
      </c>
      <c r="D78" s="86"/>
      <c r="E78" s="52">
        <v>0</v>
      </c>
      <c r="F78" s="53">
        <f t="shared" si="20"/>
        <v>0</v>
      </c>
      <c r="G78" s="52">
        <v>0</v>
      </c>
      <c r="H78" s="53">
        <f t="shared" si="21"/>
        <v>0</v>
      </c>
      <c r="I78" s="10">
        <v>2000</v>
      </c>
      <c r="J78" s="109">
        <f t="shared" si="22"/>
        <v>1087.2</v>
      </c>
      <c r="K78" s="52">
        <v>0</v>
      </c>
      <c r="L78" s="53">
        <f t="shared" si="23"/>
        <v>0</v>
      </c>
      <c r="M78" s="10"/>
      <c r="N78" s="13">
        <f t="shared" si="24"/>
        <v>0</v>
      </c>
      <c r="O78" s="10"/>
      <c r="P78" s="13">
        <f t="shared" si="25"/>
        <v>0</v>
      </c>
      <c r="Q78" s="110">
        <v>0</v>
      </c>
      <c r="R78" s="53">
        <f t="shared" si="26"/>
        <v>0</v>
      </c>
      <c r="S78" s="53">
        <f t="shared" si="27"/>
        <v>1087.2</v>
      </c>
      <c r="T78" s="100"/>
    </row>
    <row r="79" spans="1:20" s="14" customFormat="1" ht="31.5" x14ac:dyDescent="0.25">
      <c r="A79" s="7">
        <v>34</v>
      </c>
      <c r="B79" s="34">
        <v>391370</v>
      </c>
      <c r="C79" s="35" t="s">
        <v>51</v>
      </c>
      <c r="D79" s="86"/>
      <c r="E79" s="52">
        <v>0</v>
      </c>
      <c r="F79" s="53">
        <f t="shared" si="20"/>
        <v>0</v>
      </c>
      <c r="G79" s="52">
        <v>571</v>
      </c>
      <c r="H79" s="53">
        <f t="shared" si="21"/>
        <v>2098.9389000000001</v>
      </c>
      <c r="I79" s="10"/>
      <c r="J79" s="109">
        <f t="shared" si="22"/>
        <v>0</v>
      </c>
      <c r="K79" s="52">
        <v>0</v>
      </c>
      <c r="L79" s="53">
        <f t="shared" si="23"/>
        <v>0</v>
      </c>
      <c r="M79" s="10"/>
      <c r="N79" s="13">
        <f t="shared" si="24"/>
        <v>0</v>
      </c>
      <c r="O79" s="10"/>
      <c r="P79" s="13">
        <f t="shared" si="25"/>
        <v>0</v>
      </c>
      <c r="Q79" s="110">
        <v>0</v>
      </c>
      <c r="R79" s="53">
        <f t="shared" si="26"/>
        <v>0</v>
      </c>
      <c r="S79" s="53">
        <f t="shared" si="27"/>
        <v>2098.9389000000001</v>
      </c>
      <c r="T79" s="100"/>
    </row>
    <row r="80" spans="1:20" s="14" customFormat="1" ht="31.5" x14ac:dyDescent="0.25">
      <c r="A80" s="7">
        <v>35</v>
      </c>
      <c r="B80" s="34">
        <v>392720</v>
      </c>
      <c r="C80" s="35" t="s">
        <v>52</v>
      </c>
      <c r="D80" s="86"/>
      <c r="E80" s="52">
        <v>0</v>
      </c>
      <c r="F80" s="53">
        <f t="shared" si="20"/>
        <v>0</v>
      </c>
      <c r="G80" s="52">
        <v>0</v>
      </c>
      <c r="H80" s="53">
        <f t="shared" si="21"/>
        <v>0</v>
      </c>
      <c r="I80" s="10"/>
      <c r="J80" s="109">
        <f t="shared" si="22"/>
        <v>0</v>
      </c>
      <c r="K80" s="52">
        <v>0</v>
      </c>
      <c r="L80" s="53">
        <f t="shared" si="23"/>
        <v>0</v>
      </c>
      <c r="M80" s="10">
        <v>100</v>
      </c>
      <c r="N80" s="13">
        <f t="shared" si="24"/>
        <v>837.11</v>
      </c>
      <c r="O80" s="10">
        <v>100</v>
      </c>
      <c r="P80" s="13">
        <f t="shared" si="25"/>
        <v>206.45</v>
      </c>
      <c r="Q80" s="110">
        <v>0</v>
      </c>
      <c r="R80" s="53">
        <f t="shared" si="26"/>
        <v>0</v>
      </c>
      <c r="S80" s="53">
        <f t="shared" si="27"/>
        <v>1043.56</v>
      </c>
      <c r="T80" s="100"/>
    </row>
    <row r="81" spans="1:20" s="14" customFormat="1" x14ac:dyDescent="0.25">
      <c r="A81" s="7">
        <v>36</v>
      </c>
      <c r="B81" s="34">
        <v>392910</v>
      </c>
      <c r="C81" s="35" t="s">
        <v>89</v>
      </c>
      <c r="D81" s="86"/>
      <c r="E81" s="52">
        <v>0</v>
      </c>
      <c r="F81" s="53">
        <f t="shared" si="20"/>
        <v>0</v>
      </c>
      <c r="G81" s="52">
        <v>0</v>
      </c>
      <c r="H81" s="53">
        <f t="shared" si="21"/>
        <v>0</v>
      </c>
      <c r="I81" s="10">
        <v>50</v>
      </c>
      <c r="J81" s="109">
        <f t="shared" si="22"/>
        <v>27.18</v>
      </c>
      <c r="K81" s="52">
        <v>0</v>
      </c>
      <c r="L81" s="53">
        <f t="shared" si="23"/>
        <v>0</v>
      </c>
      <c r="M81" s="10"/>
      <c r="N81" s="13">
        <f t="shared" si="24"/>
        <v>0</v>
      </c>
      <c r="O81" s="10"/>
      <c r="P81" s="13">
        <f t="shared" si="25"/>
        <v>0</v>
      </c>
      <c r="Q81" s="110">
        <v>0</v>
      </c>
      <c r="R81" s="53">
        <f t="shared" si="26"/>
        <v>0</v>
      </c>
      <c r="S81" s="53">
        <f t="shared" si="27"/>
        <v>27.18</v>
      </c>
      <c r="T81" s="100"/>
    </row>
    <row r="82" spans="1:20" s="14" customFormat="1" ht="31.5" x14ac:dyDescent="0.25">
      <c r="A82" s="7">
        <v>37</v>
      </c>
      <c r="B82" s="34">
        <v>392840</v>
      </c>
      <c r="C82" s="35" t="s">
        <v>90</v>
      </c>
      <c r="D82" s="86"/>
      <c r="E82" s="52">
        <v>0</v>
      </c>
      <c r="F82" s="53">
        <f t="shared" si="20"/>
        <v>0</v>
      </c>
      <c r="G82" s="52">
        <v>0</v>
      </c>
      <c r="H82" s="53">
        <f t="shared" si="21"/>
        <v>0</v>
      </c>
      <c r="I82" s="10"/>
      <c r="J82" s="109">
        <f t="shared" si="22"/>
        <v>0</v>
      </c>
      <c r="K82" s="52">
        <v>6</v>
      </c>
      <c r="L82" s="53">
        <f t="shared" si="23"/>
        <v>5.9808000000000003</v>
      </c>
      <c r="M82" s="10"/>
      <c r="N82" s="13">
        <f t="shared" si="24"/>
        <v>0</v>
      </c>
      <c r="O82" s="10"/>
      <c r="P82" s="13">
        <f t="shared" si="25"/>
        <v>0</v>
      </c>
      <c r="Q82" s="110">
        <v>0</v>
      </c>
      <c r="R82" s="53">
        <f t="shared" si="26"/>
        <v>0</v>
      </c>
      <c r="S82" s="53">
        <f t="shared" si="27"/>
        <v>5.9808000000000003</v>
      </c>
      <c r="T82" s="100"/>
    </row>
    <row r="83" spans="1:20" s="14" customFormat="1" x14ac:dyDescent="0.25">
      <c r="A83" s="7">
        <v>38</v>
      </c>
      <c r="B83" s="34">
        <v>392830</v>
      </c>
      <c r="C83" s="35" t="s">
        <v>91</v>
      </c>
      <c r="D83" s="86"/>
      <c r="E83" s="52">
        <v>0</v>
      </c>
      <c r="F83" s="53">
        <f t="shared" si="20"/>
        <v>0</v>
      </c>
      <c r="G83" s="52">
        <v>0</v>
      </c>
      <c r="H83" s="53">
        <f t="shared" si="21"/>
        <v>0</v>
      </c>
      <c r="I83" s="10"/>
      <c r="J83" s="109">
        <f t="shared" si="22"/>
        <v>0</v>
      </c>
      <c r="K83" s="52">
        <v>0</v>
      </c>
      <c r="L83" s="53">
        <f t="shared" si="23"/>
        <v>0</v>
      </c>
      <c r="M83" s="10">
        <v>100</v>
      </c>
      <c r="N83" s="13">
        <f t="shared" si="24"/>
        <v>837.11</v>
      </c>
      <c r="O83" s="10">
        <v>600</v>
      </c>
      <c r="P83" s="13">
        <f t="shared" si="25"/>
        <v>1238.7</v>
      </c>
      <c r="Q83" s="110">
        <v>0</v>
      </c>
      <c r="R83" s="53">
        <f t="shared" si="26"/>
        <v>0</v>
      </c>
      <c r="S83" s="53">
        <f t="shared" si="27"/>
        <v>2075.81</v>
      </c>
      <c r="T83" s="100"/>
    </row>
    <row r="84" spans="1:20" s="14" customFormat="1" x14ac:dyDescent="0.25">
      <c r="A84" s="7">
        <v>39</v>
      </c>
      <c r="B84" s="34">
        <v>392050</v>
      </c>
      <c r="C84" s="35" t="s">
        <v>92</v>
      </c>
      <c r="D84" s="86"/>
      <c r="E84" s="52">
        <v>0</v>
      </c>
      <c r="F84" s="53">
        <f t="shared" si="20"/>
        <v>0</v>
      </c>
      <c r="G84" s="52">
        <v>0</v>
      </c>
      <c r="H84" s="53">
        <f t="shared" si="21"/>
        <v>0</v>
      </c>
      <c r="I84" s="10"/>
      <c r="J84" s="109">
        <f t="shared" si="22"/>
        <v>0</v>
      </c>
      <c r="K84" s="52">
        <v>0</v>
      </c>
      <c r="L84" s="53">
        <f t="shared" si="23"/>
        <v>0</v>
      </c>
      <c r="M84" s="10">
        <v>40</v>
      </c>
      <c r="N84" s="13">
        <f t="shared" si="24"/>
        <v>334.84399999999999</v>
      </c>
      <c r="O84" s="10"/>
      <c r="P84" s="13">
        <f t="shared" si="25"/>
        <v>0</v>
      </c>
      <c r="Q84" s="110">
        <v>22</v>
      </c>
      <c r="R84" s="53">
        <f t="shared" si="26"/>
        <v>8.7911999999999999</v>
      </c>
      <c r="S84" s="53">
        <f t="shared" si="27"/>
        <v>343.6352</v>
      </c>
      <c r="T84" s="100"/>
    </row>
    <row r="85" spans="1:20" s="14" customFormat="1" x14ac:dyDescent="0.25">
      <c r="A85" s="7">
        <v>40</v>
      </c>
      <c r="B85" s="34">
        <v>392900</v>
      </c>
      <c r="C85" s="35" t="s">
        <v>85</v>
      </c>
      <c r="D85" s="86"/>
      <c r="E85" s="102">
        <v>403</v>
      </c>
      <c r="F85" s="53">
        <f>ROUND(E85*$F$7/1000,5)</f>
        <v>1084.9163000000001</v>
      </c>
      <c r="G85" s="52">
        <v>428</v>
      </c>
      <c r="H85" s="53">
        <f t="shared" si="21"/>
        <v>1573.2852</v>
      </c>
      <c r="I85" s="10"/>
      <c r="J85" s="109">
        <f t="shared" si="22"/>
        <v>0</v>
      </c>
      <c r="K85" s="52">
        <v>0</v>
      </c>
      <c r="L85" s="53">
        <f t="shared" si="23"/>
        <v>0</v>
      </c>
      <c r="M85" s="10"/>
      <c r="N85" s="13">
        <f t="shared" si="24"/>
        <v>0</v>
      </c>
      <c r="O85" s="10"/>
      <c r="P85" s="13">
        <f t="shared" si="25"/>
        <v>0</v>
      </c>
      <c r="Q85" s="110">
        <v>0</v>
      </c>
      <c r="R85" s="53">
        <f t="shared" si="26"/>
        <v>0</v>
      </c>
      <c r="S85" s="53">
        <f t="shared" si="27"/>
        <v>2658.2015000000001</v>
      </c>
      <c r="T85" s="100"/>
    </row>
    <row r="86" spans="1:20" s="24" customFormat="1" outlineLevel="1" x14ac:dyDescent="0.25">
      <c r="A86" s="103"/>
      <c r="B86" s="103"/>
      <c r="C86" s="66" t="s">
        <v>39</v>
      </c>
      <c r="D86" s="66"/>
      <c r="E86" s="104">
        <f t="shared" ref="E86:S86" si="28">SUM(E44:E85)</f>
        <v>67944</v>
      </c>
      <c r="F86" s="22">
        <f t="shared" si="28"/>
        <v>182910.74240000002</v>
      </c>
      <c r="G86" s="104">
        <f t="shared" si="28"/>
        <v>25003</v>
      </c>
      <c r="H86" s="22">
        <f t="shared" si="28"/>
        <v>91908.527699999991</v>
      </c>
      <c r="I86" s="104">
        <f t="shared" si="28"/>
        <v>93297</v>
      </c>
      <c r="J86" s="22">
        <f t="shared" si="28"/>
        <v>50716.249199999977</v>
      </c>
      <c r="K86" s="104">
        <f t="shared" si="28"/>
        <v>43557</v>
      </c>
      <c r="L86" s="22">
        <f t="shared" si="28"/>
        <v>43417.317600000009</v>
      </c>
      <c r="M86" s="104">
        <f t="shared" si="28"/>
        <v>1006</v>
      </c>
      <c r="N86" s="22">
        <f t="shared" si="28"/>
        <v>8421.3265999999985</v>
      </c>
      <c r="O86" s="104">
        <f t="shared" si="28"/>
        <v>13638</v>
      </c>
      <c r="P86" s="22">
        <f t="shared" si="28"/>
        <v>28155.651000000002</v>
      </c>
      <c r="Q86" s="104">
        <f t="shared" si="28"/>
        <v>62567</v>
      </c>
      <c r="R86" s="22">
        <f t="shared" si="28"/>
        <v>25001.7732</v>
      </c>
      <c r="S86" s="22">
        <f t="shared" si="28"/>
        <v>430531.58770000009</v>
      </c>
      <c r="T86" s="105"/>
    </row>
    <row r="87" spans="1:20" s="14" customFormat="1" outlineLevel="1" x14ac:dyDescent="0.25">
      <c r="A87" s="37"/>
      <c r="B87" s="37"/>
      <c r="C87" s="20" t="s">
        <v>87</v>
      </c>
      <c r="D87" s="75"/>
      <c r="E87" s="102">
        <f>E38</f>
        <v>67944</v>
      </c>
      <c r="F87" s="53">
        <f t="shared" ref="F87:S87" si="29">F38</f>
        <v>182910.72842999999</v>
      </c>
      <c r="G87" s="102">
        <f t="shared" si="29"/>
        <v>25003</v>
      </c>
      <c r="H87" s="53">
        <f t="shared" si="29"/>
        <v>91908.527700000006</v>
      </c>
      <c r="I87" s="102">
        <f t="shared" si="29"/>
        <v>93297</v>
      </c>
      <c r="J87" s="53">
        <f t="shared" si="29"/>
        <v>50716.249199999998</v>
      </c>
      <c r="K87" s="102">
        <f t="shared" si="29"/>
        <v>43557</v>
      </c>
      <c r="L87" s="53">
        <f t="shared" si="29"/>
        <v>43417.254390000002</v>
      </c>
      <c r="M87" s="102">
        <f t="shared" si="29"/>
        <v>1006</v>
      </c>
      <c r="N87" s="53">
        <f t="shared" si="29"/>
        <v>8421.3266000000003</v>
      </c>
      <c r="O87" s="102">
        <f t="shared" si="29"/>
        <v>13638</v>
      </c>
      <c r="P87" s="53">
        <f t="shared" si="29"/>
        <v>28155.651000000002</v>
      </c>
      <c r="Q87" s="102">
        <f t="shared" si="29"/>
        <v>62567.308008008011</v>
      </c>
      <c r="R87" s="53">
        <f t="shared" si="29"/>
        <v>25001.896280000001</v>
      </c>
      <c r="S87" s="53">
        <f t="shared" si="29"/>
        <v>430531.6336</v>
      </c>
      <c r="T87" s="40"/>
    </row>
    <row r="88" spans="1:20" s="36" customFormat="1" outlineLevel="1" x14ac:dyDescent="0.25">
      <c r="A88" s="49"/>
      <c r="B88" s="49"/>
      <c r="C88" s="16" t="s">
        <v>88</v>
      </c>
      <c r="D88" s="112"/>
      <c r="E88" s="113">
        <f>E87-E86</f>
        <v>0</v>
      </c>
      <c r="F88" s="13">
        <f t="shared" ref="F88:S88" si="30">F87-F86</f>
        <v>-1.3970000029075891E-2</v>
      </c>
      <c r="G88" s="113">
        <f t="shared" si="30"/>
        <v>0</v>
      </c>
      <c r="H88" s="13">
        <f t="shared" si="30"/>
        <v>0</v>
      </c>
      <c r="I88" s="113">
        <f t="shared" si="30"/>
        <v>0</v>
      </c>
      <c r="J88" s="13">
        <f t="shared" si="30"/>
        <v>0</v>
      </c>
      <c r="K88" s="113">
        <f t="shared" si="30"/>
        <v>0</v>
      </c>
      <c r="L88" s="13">
        <f t="shared" si="30"/>
        <v>-6.3210000007529743E-2</v>
      </c>
      <c r="M88" s="113">
        <f t="shared" si="30"/>
        <v>0</v>
      </c>
      <c r="N88" s="13">
        <f t="shared" si="30"/>
        <v>0</v>
      </c>
      <c r="O88" s="113">
        <f t="shared" si="30"/>
        <v>0</v>
      </c>
      <c r="P88" s="13">
        <f t="shared" si="30"/>
        <v>0</v>
      </c>
      <c r="Q88" s="113">
        <f t="shared" si="30"/>
        <v>0.30800800801080186</v>
      </c>
      <c r="R88" s="13">
        <f t="shared" si="30"/>
        <v>0.12308000000120956</v>
      </c>
      <c r="S88" s="13">
        <f t="shared" si="30"/>
        <v>4.5899999910034239E-2</v>
      </c>
      <c r="T88" s="100"/>
    </row>
    <row r="89" spans="1:20" s="39" customFormat="1" x14ac:dyDescent="0.25">
      <c r="A89" s="38"/>
      <c r="B89" s="38"/>
      <c r="D89" s="83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101"/>
    </row>
    <row r="90" spans="1:20" x14ac:dyDescent="0.25">
      <c r="A90" s="42" t="s">
        <v>53</v>
      </c>
      <c r="B90" s="42"/>
      <c r="C90" s="42" t="s">
        <v>54</v>
      </c>
      <c r="D90" s="88"/>
      <c r="E90" s="3"/>
      <c r="F90" s="43" t="s">
        <v>55</v>
      </c>
      <c r="G90" s="42" t="s">
        <v>56</v>
      </c>
      <c r="Q90" s="44"/>
    </row>
    <row r="91" spans="1:20" x14ac:dyDescent="0.25">
      <c r="A91" s="42" t="s">
        <v>59</v>
      </c>
      <c r="B91" s="42"/>
      <c r="C91" s="42" t="s">
        <v>60</v>
      </c>
      <c r="D91" s="88"/>
      <c r="F91" s="45" t="s">
        <v>61</v>
      </c>
      <c r="G91" s="46" t="s">
        <v>62</v>
      </c>
    </row>
    <row r="92" spans="1:20" x14ac:dyDescent="0.25">
      <c r="A92" s="42" t="s">
        <v>63</v>
      </c>
      <c r="B92" s="42"/>
      <c r="C92" s="42" t="s">
        <v>64</v>
      </c>
      <c r="D92" s="88"/>
      <c r="F92" s="45" t="s">
        <v>65</v>
      </c>
      <c r="G92" s="46" t="s">
        <v>66</v>
      </c>
    </row>
    <row r="93" spans="1:20" x14ac:dyDescent="0.25">
      <c r="A93" s="42" t="s">
        <v>67</v>
      </c>
      <c r="B93" s="42"/>
      <c r="C93" s="42" t="s">
        <v>68</v>
      </c>
      <c r="D93" s="88"/>
      <c r="F93" s="45" t="s">
        <v>69</v>
      </c>
      <c r="G93" s="46" t="s">
        <v>70</v>
      </c>
    </row>
    <row r="94" spans="1:20" x14ac:dyDescent="0.25">
      <c r="A94" s="42" t="s">
        <v>71</v>
      </c>
      <c r="B94" s="42"/>
      <c r="C94" s="42" t="s">
        <v>72</v>
      </c>
      <c r="D94" s="88"/>
      <c r="F94" s="45" t="s">
        <v>73</v>
      </c>
      <c r="G94" s="46" t="s">
        <v>74</v>
      </c>
    </row>
    <row r="95" spans="1:20" x14ac:dyDescent="0.25">
      <c r="A95" s="42" t="s">
        <v>75</v>
      </c>
      <c r="B95" s="42"/>
      <c r="C95" s="42" t="s">
        <v>76</v>
      </c>
      <c r="D95" s="88"/>
      <c r="F95" s="47" t="s">
        <v>77</v>
      </c>
      <c r="G95" s="42" t="s">
        <v>78</v>
      </c>
    </row>
    <row r="96" spans="1:20" x14ac:dyDescent="0.25">
      <c r="A96" s="42" t="s">
        <v>79</v>
      </c>
      <c r="B96" s="42"/>
      <c r="C96" s="42" t="s">
        <v>80</v>
      </c>
      <c r="D96" s="88"/>
      <c r="F96" s="47" t="s">
        <v>81</v>
      </c>
      <c r="G96" s="48" t="s">
        <v>82</v>
      </c>
    </row>
    <row r="97" spans="1:21" x14ac:dyDescent="0.25">
      <c r="A97" s="43" t="s">
        <v>57</v>
      </c>
      <c r="B97" s="2"/>
      <c r="C97" s="42" t="s">
        <v>58</v>
      </c>
      <c r="D97" s="88"/>
      <c r="F97" s="47" t="s">
        <v>86</v>
      </c>
      <c r="G97" s="2" t="s">
        <v>96</v>
      </c>
    </row>
    <row r="98" spans="1:21" s="3" customFormat="1" x14ac:dyDescent="0.25">
      <c r="A98" s="1"/>
      <c r="B98" s="1"/>
      <c r="C98" s="1"/>
      <c r="D98" s="81"/>
      <c r="E98" s="2"/>
      <c r="F98" s="2" t="s">
        <v>94</v>
      </c>
      <c r="G98" s="2" t="s">
        <v>95</v>
      </c>
      <c r="I98" s="2"/>
      <c r="K98" s="2"/>
      <c r="M98" s="2"/>
      <c r="O98" s="2"/>
      <c r="Q98" s="2"/>
      <c r="T98" s="93"/>
      <c r="U98" s="2"/>
    </row>
  </sheetData>
  <autoFilter ref="A43:U88" xr:uid="{90930062-E426-47A6-8AD1-D58932885387}"/>
  <mergeCells count="25">
    <mergeCell ref="A4:S4"/>
    <mergeCell ref="A6:A8"/>
    <mergeCell ref="B6:B8"/>
    <mergeCell ref="C6:C8"/>
    <mergeCell ref="D6:D8"/>
    <mergeCell ref="E6:F6"/>
    <mergeCell ref="G6:H6"/>
    <mergeCell ref="I6:J6"/>
    <mergeCell ref="K6:L6"/>
    <mergeCell ref="M6:N6"/>
    <mergeCell ref="O6:P6"/>
    <mergeCell ref="Q6:R6"/>
    <mergeCell ref="S6:S8"/>
    <mergeCell ref="A40:S40"/>
    <mergeCell ref="A42:A43"/>
    <mergeCell ref="B42:B43"/>
    <mergeCell ref="C42:C43"/>
    <mergeCell ref="E42:F42"/>
    <mergeCell ref="G42:H42"/>
    <mergeCell ref="I42:J42"/>
    <mergeCell ref="K42:L42"/>
    <mergeCell ref="M42:N42"/>
    <mergeCell ref="O42:P42"/>
    <mergeCell ref="Q42:R42"/>
    <mergeCell ref="S42:S43"/>
  </mergeCells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Прил.1.1.1 (3.3.10.1)</vt:lpstr>
      <vt:lpstr>Прил.1.1.1 (3.3.10.1) (8_1)</vt:lpstr>
      <vt:lpstr>'Прил.1.1.1 (3.3.10.1)'!Заголовки_для_печати</vt:lpstr>
      <vt:lpstr>'Прил.1.1.1 (3.3.10.1)'!Область_печати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Половинчак</dc:creator>
  <cp:lastModifiedBy>Половинчак</cp:lastModifiedBy>
  <cp:lastPrinted>2024-01-10T08:56:57Z</cp:lastPrinted>
  <dcterms:created xsi:type="dcterms:W3CDTF">2022-12-30T11:52:16Z</dcterms:created>
  <dcterms:modified xsi:type="dcterms:W3CDTF">2024-01-10T14:23:31Z</dcterms:modified>
</cp:coreProperties>
</file>